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950" windowWidth="19320" windowHeight="4755" tabRatio="704" firstSheet="1" activeTab="1"/>
  </bookViews>
  <sheets>
    <sheet name="САДРЖАЈ" sheetId="203" state="hidden" r:id="rId1"/>
    <sheet name="Kadar.ode." sheetId="189" r:id="rId2"/>
    <sheet name="Kadar.dne.bol.dij." sheetId="191" r:id="rId3"/>
    <sheet name="Kadar.zaj.med.del." sheetId="192" r:id="rId4"/>
    <sheet name="Kadar.nem." sheetId="169" r:id="rId5"/>
    <sheet name="Kadar.zbirno TAB 5 " sheetId="174" r:id="rId6"/>
    <sheet name="Sheet1" sheetId="204" r:id="rId7"/>
  </sheets>
  <definedNames>
    <definedName name="____W.O.R.K.B.O.O.K..C.O.N.T.E.N.T.S____">#REF!</definedName>
    <definedName name="_xlnm.Print_Titles" localSheetId="1">Kadar.ode.!$6:$8</definedName>
    <definedName name="_xlnm.Print_Titles" localSheetId="3">Kadar.zaj.med.del.!$A:$A</definedName>
  </definedNames>
  <calcPr calcId="145621"/>
</workbook>
</file>

<file path=xl/calcChain.xml><?xml version="1.0" encoding="utf-8"?>
<calcChain xmlns="http://schemas.openxmlformats.org/spreadsheetml/2006/main">
  <c r="C31" i="189" l="1"/>
  <c r="C39" i="189"/>
  <c r="B31" i="189"/>
  <c r="D37" i="189"/>
  <c r="D38" i="189"/>
  <c r="J39" i="189" l="1"/>
  <c r="D15" i="169" l="1"/>
  <c r="B9" i="169" l="1"/>
  <c r="B39" i="189"/>
  <c r="I14" i="174" l="1"/>
  <c r="H14" i="174"/>
  <c r="G21" i="169"/>
  <c r="D21" i="169"/>
  <c r="G20" i="169"/>
  <c r="D20" i="169"/>
  <c r="G19" i="169"/>
  <c r="D19" i="169"/>
  <c r="G18" i="169"/>
  <c r="D18" i="169"/>
  <c r="G17" i="169"/>
  <c r="D17" i="169"/>
  <c r="G16" i="169"/>
  <c r="D16" i="169"/>
  <c r="G15" i="169"/>
  <c r="G14" i="169"/>
  <c r="D14" i="169"/>
  <c r="G13" i="169"/>
  <c r="D13" i="169"/>
  <c r="R22" i="192"/>
  <c r="Q22" i="192"/>
  <c r="N22" i="192"/>
  <c r="L22" i="192"/>
  <c r="I22" i="192"/>
  <c r="G22" i="192"/>
  <c r="F22" i="192"/>
  <c r="E22" i="192"/>
  <c r="D22" i="192"/>
  <c r="S21" i="192"/>
  <c r="M21" i="192"/>
  <c r="P21" i="192" s="1"/>
  <c r="K21" i="192"/>
  <c r="J21" i="192"/>
  <c r="S20" i="192"/>
  <c r="O20" i="192"/>
  <c r="M20" i="192"/>
  <c r="P20" i="192" s="1"/>
  <c r="H20" i="192"/>
  <c r="K20" i="192" s="1"/>
  <c r="S19" i="192"/>
  <c r="P19" i="192"/>
  <c r="O19" i="192"/>
  <c r="K19" i="192"/>
  <c r="J19" i="192"/>
  <c r="S18" i="192"/>
  <c r="M18" i="192"/>
  <c r="P18" i="192" s="1"/>
  <c r="H18" i="192"/>
  <c r="K18" i="192" s="1"/>
  <c r="S17" i="192"/>
  <c r="M17" i="192"/>
  <c r="P17" i="192" s="1"/>
  <c r="H17" i="192"/>
  <c r="K17" i="192" s="1"/>
  <c r="S16" i="192"/>
  <c r="P16" i="192"/>
  <c r="O16" i="192"/>
  <c r="K16" i="192"/>
  <c r="J16" i="192"/>
  <c r="S15" i="192"/>
  <c r="H15" i="192"/>
  <c r="K15" i="192" s="1"/>
  <c r="S14" i="192"/>
  <c r="H14" i="192"/>
  <c r="K14" i="192" s="1"/>
  <c r="S13" i="192"/>
  <c r="H13" i="192"/>
  <c r="K13" i="192" s="1"/>
  <c r="S12" i="192"/>
  <c r="H12" i="192"/>
  <c r="K12" i="192" s="1"/>
  <c r="S11" i="192"/>
  <c r="H11" i="192"/>
  <c r="K11" i="192" s="1"/>
  <c r="S10" i="192"/>
  <c r="P10" i="192"/>
  <c r="O10" i="192"/>
  <c r="K10" i="192"/>
  <c r="J10" i="192"/>
  <c r="S9" i="192"/>
  <c r="P9" i="192"/>
  <c r="O9" i="192"/>
  <c r="K9" i="192"/>
  <c r="J9" i="192"/>
  <c r="S8" i="192"/>
  <c r="H8" i="192"/>
  <c r="O9" i="191"/>
  <c r="K9" i="191"/>
  <c r="L9" i="191" s="1"/>
  <c r="I9" i="191"/>
  <c r="O8" i="191"/>
  <c r="H8" i="191"/>
  <c r="K8" i="191" s="1"/>
  <c r="L8" i="191" s="1"/>
  <c r="AF39" i="189"/>
  <c r="AE39" i="189"/>
  <c r="AD39" i="189"/>
  <c r="AB39" i="189"/>
  <c r="Z39" i="189"/>
  <c r="R39" i="189"/>
  <c r="O39" i="189"/>
  <c r="K39" i="189"/>
  <c r="I39" i="189"/>
  <c r="G39" i="189"/>
  <c r="F39" i="189"/>
  <c r="AC38" i="189"/>
  <c r="P38" i="189"/>
  <c r="Q38" i="189" s="1"/>
  <c r="AC37" i="189"/>
  <c r="P37" i="189"/>
  <c r="Q37" i="189" s="1"/>
  <c r="AC36" i="189"/>
  <c r="X36" i="189"/>
  <c r="Y36" i="189" s="1"/>
  <c r="P36" i="189"/>
  <c r="Q36" i="189" s="1"/>
  <c r="H36" i="189"/>
  <c r="D36" i="189" s="1"/>
  <c r="AC35" i="189"/>
  <c r="X35" i="189"/>
  <c r="Y35" i="189" s="1"/>
  <c r="P35" i="189"/>
  <c r="Q35" i="189" s="1"/>
  <c r="H35" i="189"/>
  <c r="D35" i="189" s="1"/>
  <c r="AC34" i="189"/>
  <c r="X34" i="189"/>
  <c r="Y34" i="189" s="1"/>
  <c r="P34" i="189"/>
  <c r="Q34" i="189" s="1"/>
  <c r="H34" i="189"/>
  <c r="D34" i="189" s="1"/>
  <c r="AC33" i="189"/>
  <c r="X33" i="189"/>
  <c r="Y33" i="189" s="1"/>
  <c r="P33" i="189"/>
  <c r="Q33" i="189" s="1"/>
  <c r="H33" i="189"/>
  <c r="D33" i="189" s="1"/>
  <c r="AC32" i="189"/>
  <c r="H32" i="189"/>
  <c r="D32" i="189" s="1"/>
  <c r="AC31" i="189"/>
  <c r="E31" i="189"/>
  <c r="V31" i="189" s="1"/>
  <c r="AC30" i="189"/>
  <c r="X30" i="189"/>
  <c r="Y30" i="189" s="1"/>
  <c r="P30" i="189"/>
  <c r="Q30" i="189" s="1"/>
  <c r="H30" i="189"/>
  <c r="D30" i="189" s="1"/>
  <c r="AC29" i="189"/>
  <c r="S29" i="189"/>
  <c r="X29" i="189" s="1"/>
  <c r="Y29" i="189" s="1"/>
  <c r="P29" i="189"/>
  <c r="Q29" i="189" s="1"/>
  <c r="H29" i="189"/>
  <c r="D29" i="189" s="1"/>
  <c r="AC28" i="189"/>
  <c r="V28" i="189"/>
  <c r="S28" i="189"/>
  <c r="L28" i="189"/>
  <c r="P28" i="189" s="1"/>
  <c r="Q28" i="189" s="1"/>
  <c r="H28" i="189"/>
  <c r="D28" i="189" s="1"/>
  <c r="AC27" i="189"/>
  <c r="E27" i="189"/>
  <c r="V27" i="189" s="1"/>
  <c r="AC26" i="189"/>
  <c r="V26" i="189"/>
  <c r="S26" i="189"/>
  <c r="L26" i="189"/>
  <c r="P26" i="189" s="1"/>
  <c r="Q26" i="189" s="1"/>
  <c r="H26" i="189"/>
  <c r="D26" i="189" s="1"/>
  <c r="S25" i="189"/>
  <c r="L25" i="189"/>
  <c r="P25" i="189" s="1"/>
  <c r="Q25" i="189" s="1"/>
  <c r="H25" i="189"/>
  <c r="D25" i="189" s="1"/>
  <c r="AC24" i="189"/>
  <c r="V24" i="189"/>
  <c r="U24" i="189"/>
  <c r="X24" i="189" s="1"/>
  <c r="Y24" i="189" s="1"/>
  <c r="S24" i="189"/>
  <c r="N24" i="189"/>
  <c r="N39" i="189" s="1"/>
  <c r="L24" i="189"/>
  <c r="H24" i="189"/>
  <c r="D24" i="189" s="1"/>
  <c r="AC23" i="189"/>
  <c r="Q23" i="189"/>
  <c r="X23" i="189" s="1"/>
  <c r="Y23" i="189" s="1"/>
  <c r="P23" i="189"/>
  <c r="H23" i="189"/>
  <c r="D23" i="189" s="1"/>
  <c r="V22" i="189"/>
  <c r="T22" i="189"/>
  <c r="S22" i="189"/>
  <c r="M22" i="189"/>
  <c r="L22" i="189"/>
  <c r="H22" i="189"/>
  <c r="D22" i="189" s="1"/>
  <c r="AC21" i="189"/>
  <c r="E21" i="189"/>
  <c r="S21" i="189" s="1"/>
  <c r="AC20" i="189"/>
  <c r="E20" i="189"/>
  <c r="V20" i="189" s="1"/>
  <c r="AC19" i="189"/>
  <c r="V19" i="189"/>
  <c r="X19" i="189" s="1"/>
  <c r="Y19" i="189" s="1"/>
  <c r="L19" i="189"/>
  <c r="P19" i="189" s="1"/>
  <c r="Q19" i="189" s="1"/>
  <c r="H19" i="189"/>
  <c r="D19" i="189" s="1"/>
  <c r="AC18" i="189"/>
  <c r="H18" i="189"/>
  <c r="D18" i="189" s="1"/>
  <c r="E18" i="189"/>
  <c r="V18" i="189" s="1"/>
  <c r="AC17" i="189"/>
  <c r="V17" i="189"/>
  <c r="Q17" i="189"/>
  <c r="P17" i="189"/>
  <c r="H17" i="189"/>
  <c r="D17" i="189" s="1"/>
  <c r="AC16" i="189"/>
  <c r="E16" i="189"/>
  <c r="V16" i="189" s="1"/>
  <c r="AC15" i="189"/>
  <c r="Y15" i="189"/>
  <c r="T15" i="189"/>
  <c r="X15" i="189" s="1"/>
  <c r="P15" i="189"/>
  <c r="Q15" i="189" s="1"/>
  <c r="M15" i="189"/>
  <c r="H15" i="189"/>
  <c r="D15" i="189" s="1"/>
  <c r="AC14" i="189"/>
  <c r="E14" i="189"/>
  <c r="V14" i="189" s="1"/>
  <c r="AC13" i="189"/>
  <c r="T13" i="189"/>
  <c r="M13" i="189"/>
  <c r="E13" i="189"/>
  <c r="H13" i="189" s="1"/>
  <c r="D13" i="189" s="1"/>
  <c r="AC12" i="189"/>
  <c r="T12" i="189"/>
  <c r="M12" i="189"/>
  <c r="H12" i="189"/>
  <c r="D12" i="189" s="1"/>
  <c r="E12" i="189"/>
  <c r="V12" i="189" s="1"/>
  <c r="AC11" i="189"/>
  <c r="T11" i="189"/>
  <c r="S11" i="189"/>
  <c r="X11" i="189" s="1"/>
  <c r="Y11" i="189" s="1"/>
  <c r="M11" i="189"/>
  <c r="P11" i="189" s="1"/>
  <c r="Q11" i="189" s="1"/>
  <c r="H11" i="189"/>
  <c r="D11" i="189" s="1"/>
  <c r="AC10" i="189"/>
  <c r="V10" i="189"/>
  <c r="T10" i="189"/>
  <c r="S10" i="189"/>
  <c r="M10" i="189"/>
  <c r="L10" i="189"/>
  <c r="H10" i="189"/>
  <c r="D10" i="189" s="1"/>
  <c r="AC9" i="189"/>
  <c r="X9" i="189"/>
  <c r="Y9" i="189" s="1"/>
  <c r="P9" i="189"/>
  <c r="Q9" i="189" s="1"/>
  <c r="H9" i="189"/>
  <c r="M39" i="189" l="1"/>
  <c r="T39" i="189"/>
  <c r="H22" i="192"/>
  <c r="J17" i="192"/>
  <c r="S14" i="189"/>
  <c r="X14" i="189" s="1"/>
  <c r="Y14" i="189" s="1"/>
  <c r="S16" i="189"/>
  <c r="X16" i="189" s="1"/>
  <c r="Y16" i="189" s="1"/>
  <c r="S20" i="189"/>
  <c r="AA22" i="189"/>
  <c r="S27" i="189"/>
  <c r="M13" i="192"/>
  <c r="P13" i="192" s="1"/>
  <c r="M15" i="192"/>
  <c r="P15" i="192" s="1"/>
  <c r="P10" i="189"/>
  <c r="Q10" i="189" s="1"/>
  <c r="X10" i="189"/>
  <c r="Y10" i="189" s="1"/>
  <c r="H14" i="189"/>
  <c r="D14" i="189" s="1"/>
  <c r="H16" i="189"/>
  <c r="D16" i="189" s="1"/>
  <c r="S18" i="189"/>
  <c r="H20" i="189"/>
  <c r="D20" i="189" s="1"/>
  <c r="P22" i="189"/>
  <c r="Q22" i="189" s="1"/>
  <c r="X22" i="189"/>
  <c r="Y22" i="189" s="1"/>
  <c r="P24" i="189"/>
  <c r="Q24" i="189" s="1"/>
  <c r="V25" i="189"/>
  <c r="X25" i="189" s="1"/>
  <c r="Y25" i="189" s="1"/>
  <c r="X26" i="189"/>
  <c r="Y26" i="189" s="1"/>
  <c r="H27" i="189"/>
  <c r="D27" i="189" s="1"/>
  <c r="X28" i="189"/>
  <c r="Y28" i="189" s="1"/>
  <c r="H31" i="189"/>
  <c r="D31" i="189" s="1"/>
  <c r="L32" i="189"/>
  <c r="P32" i="189" s="1"/>
  <c r="Q32" i="189" s="1"/>
  <c r="E39" i="189"/>
  <c r="H39" i="189" s="1"/>
  <c r="D39" i="189" s="1"/>
  <c r="U39" i="189"/>
  <c r="J13" i="192"/>
  <c r="J15" i="192"/>
  <c r="O18" i="192"/>
  <c r="O21" i="192"/>
  <c r="S22" i="192"/>
  <c r="W39" i="189"/>
  <c r="J11" i="192"/>
  <c r="M11" i="192"/>
  <c r="P11" i="192" s="1"/>
  <c r="K8" i="192"/>
  <c r="K22" i="192" s="1"/>
  <c r="J8" i="192"/>
  <c r="M8" i="192"/>
  <c r="O11" i="192"/>
  <c r="J12" i="192"/>
  <c r="M12" i="192"/>
  <c r="O13" i="192"/>
  <c r="J14" i="192"/>
  <c r="M14" i="192"/>
  <c r="O17" i="192"/>
  <c r="J18" i="192"/>
  <c r="J20" i="192"/>
  <c r="I8" i="191"/>
  <c r="S13" i="189"/>
  <c r="V13" i="189"/>
  <c r="X18" i="189"/>
  <c r="Y18" i="189" s="1"/>
  <c r="L13" i="189"/>
  <c r="P13" i="189" s="1"/>
  <c r="Q13" i="189" s="1"/>
  <c r="S17" i="189"/>
  <c r="X27" i="189"/>
  <c r="Y27" i="189" s="1"/>
  <c r="X20" i="189"/>
  <c r="Y20" i="189" s="1"/>
  <c r="L21" i="189"/>
  <c r="P21" i="189" s="1"/>
  <c r="Q21" i="189" s="1"/>
  <c r="V21" i="189"/>
  <c r="X21" i="189" s="1"/>
  <c r="Y21" i="189" s="1"/>
  <c r="AA25" i="189"/>
  <c r="AC25" i="189" s="1"/>
  <c r="S32" i="189"/>
  <c r="X32" i="189" s="1"/>
  <c r="Y32" i="189" s="1"/>
  <c r="L12" i="189"/>
  <c r="P12" i="189" s="1"/>
  <c r="Q12" i="189" s="1"/>
  <c r="S12" i="189"/>
  <c r="X12" i="189" s="1"/>
  <c r="Y12" i="189" s="1"/>
  <c r="L14" i="189"/>
  <c r="P14" i="189" s="1"/>
  <c r="Q14" i="189" s="1"/>
  <c r="L16" i="189"/>
  <c r="P16" i="189" s="1"/>
  <c r="Q16" i="189" s="1"/>
  <c r="L18" i="189"/>
  <c r="P18" i="189" s="1"/>
  <c r="Q18" i="189" s="1"/>
  <c r="L20" i="189"/>
  <c r="P20" i="189" s="1"/>
  <c r="Q20" i="189" s="1"/>
  <c r="H21" i="189"/>
  <c r="D21" i="189" s="1"/>
  <c r="L27" i="189"/>
  <c r="P27" i="189" s="1"/>
  <c r="Q27" i="189" s="1"/>
  <c r="L31" i="189"/>
  <c r="P31" i="189" s="1"/>
  <c r="Q31" i="189" s="1"/>
  <c r="D9" i="174" l="1"/>
  <c r="X13" i="189"/>
  <c r="Y13" i="189" s="1"/>
  <c r="V39" i="189"/>
  <c r="O15" i="192"/>
  <c r="L39" i="189"/>
  <c r="P39" i="189" s="1"/>
  <c r="Q39" i="189" s="1"/>
  <c r="S31" i="189"/>
  <c r="X31" i="189" s="1"/>
  <c r="Y31" i="189" s="1"/>
  <c r="AC22" i="189"/>
  <c r="AA39" i="189"/>
  <c r="AC39" i="189" s="1"/>
  <c r="X17" i="189"/>
  <c r="Y17" i="189" s="1"/>
  <c r="O12" i="192"/>
  <c r="P12" i="192"/>
  <c r="J22" i="192"/>
  <c r="O14" i="192"/>
  <c r="P14" i="192"/>
  <c r="M22" i="192"/>
  <c r="O8" i="192"/>
  <c r="P8" i="192"/>
  <c r="O22" i="192" l="1"/>
  <c r="S39" i="189"/>
  <c r="X39" i="189" s="1"/>
  <c r="Y39" i="189" s="1"/>
  <c r="P22" i="192"/>
  <c r="C3" i="174" l="1"/>
  <c r="C3" i="169"/>
  <c r="C3" i="192"/>
  <c r="C3" i="191"/>
  <c r="C2" i="174"/>
  <c r="C2" i="169"/>
  <c r="C2" i="192"/>
  <c r="C2" i="191"/>
  <c r="C1" i="174"/>
  <c r="C1" i="169"/>
  <c r="C1" i="192"/>
  <c r="C1" i="191"/>
  <c r="W22" i="192"/>
  <c r="V22" i="192"/>
  <c r="U22" i="192"/>
  <c r="F9" i="174" s="1"/>
  <c r="T22" i="192"/>
  <c r="C9" i="174"/>
  <c r="O12" i="191"/>
  <c r="O13" i="191"/>
  <c r="O14" i="191"/>
  <c r="O15" i="191"/>
  <c r="O16" i="191"/>
  <c r="L12" i="191"/>
  <c r="L13" i="191"/>
  <c r="L14" i="191"/>
  <c r="L15" i="191"/>
  <c r="L16" i="191"/>
  <c r="I12" i="191"/>
  <c r="I13" i="191"/>
  <c r="I14" i="191"/>
  <c r="I15" i="191"/>
  <c r="I16" i="191"/>
  <c r="R18" i="191"/>
  <c r="Q18" i="191"/>
  <c r="P18" i="191"/>
  <c r="N18" i="191"/>
  <c r="M18" i="191"/>
  <c r="K18" i="191"/>
  <c r="J18" i="191"/>
  <c r="H18" i="191"/>
  <c r="D8" i="174" s="1"/>
  <c r="G18" i="191"/>
  <c r="F18" i="191"/>
  <c r="I22" i="169"/>
  <c r="F13" i="174" s="1"/>
  <c r="H22" i="169"/>
  <c r="F12" i="174" s="1"/>
  <c r="E22" i="169"/>
  <c r="C13" i="174" s="1"/>
  <c r="F22" i="169"/>
  <c r="D13" i="174" s="1"/>
  <c r="B22" i="169"/>
  <c r="C12" i="174" s="1"/>
  <c r="C22" i="169"/>
  <c r="D12" i="174" s="1"/>
  <c r="E18" i="191"/>
  <c r="O17" i="191"/>
  <c r="L17" i="191"/>
  <c r="I17" i="191"/>
  <c r="O11" i="191"/>
  <c r="L11" i="191"/>
  <c r="I11" i="191"/>
  <c r="O10" i="191"/>
  <c r="L10" i="191"/>
  <c r="I10" i="191"/>
  <c r="F10" i="174" l="1"/>
  <c r="E9" i="174"/>
  <c r="D22" i="169"/>
  <c r="F11" i="174"/>
  <c r="G22" i="169"/>
  <c r="I18" i="191"/>
  <c r="G9" i="174"/>
  <c r="L18" i="191"/>
  <c r="C8" i="174"/>
  <c r="C11" i="174"/>
  <c r="O18" i="191"/>
  <c r="D11" i="174"/>
  <c r="F8" i="174"/>
  <c r="G12" i="174"/>
  <c r="E12" i="174"/>
  <c r="E13" i="174"/>
  <c r="G13" i="174"/>
  <c r="C10" i="174"/>
  <c r="E8" i="174" l="1"/>
  <c r="F14" i="174"/>
  <c r="G11" i="174"/>
  <c r="E11" i="174"/>
  <c r="G8" i="174"/>
  <c r="D10" i="174"/>
  <c r="G10" i="174"/>
  <c r="C14" i="174"/>
  <c r="D14" i="174" l="1"/>
  <c r="G14" i="174"/>
  <c r="E10" i="174"/>
  <c r="E14" i="174" s="1"/>
</calcChain>
</file>

<file path=xl/comments1.xml><?xml version="1.0" encoding="utf-8"?>
<comments xmlns="http://schemas.openxmlformats.org/spreadsheetml/2006/main">
  <authors>
    <author>andjelija.neskovic</author>
    <author>Author</author>
    <author>Biljana Budic</author>
  </authors>
  <commentList>
    <comment ref="L10" authorId="0">
      <text>
        <r>
          <rPr>
            <b/>
            <sz val="8"/>
            <color indexed="81"/>
            <rFont val="Tahoma"/>
            <family val="2"/>
          </rPr>
          <t>andjelija.neskovic:</t>
        </r>
        <r>
          <rPr>
            <sz val="8"/>
            <color indexed="81"/>
            <rFont val="Tahoma"/>
            <family val="2"/>
          </rPr>
          <t xml:space="preserve">
normativ uvecan za dopler krvnih sudova glave i vrata</t>
        </r>
      </text>
    </comment>
    <comment ref="A11" authorId="0">
      <text>
        <r>
          <rPr>
            <b/>
            <sz val="8"/>
            <color indexed="81"/>
            <rFont val="Tahoma"/>
            <family val="2"/>
          </rPr>
          <t>andjelija.neskovic:</t>
        </r>
        <r>
          <rPr>
            <sz val="8"/>
            <color indexed="81"/>
            <rFont val="Tahoma"/>
            <family val="2"/>
          </rPr>
          <t xml:space="preserve">
pripada hirurgiji</t>
        </r>
      </text>
    </comment>
    <comment ref="L13" authorId="0">
      <text>
        <r>
          <rPr>
            <b/>
            <sz val="8"/>
            <color indexed="81"/>
            <rFont val="Tahoma"/>
            <family val="2"/>
          </rPr>
          <t>andjelija.neskovic:</t>
        </r>
        <r>
          <rPr>
            <sz val="8"/>
            <color indexed="81"/>
            <rFont val="Tahoma"/>
            <family val="2"/>
          </rPr>
          <t xml:space="preserve">
normativ uvecan zbog ultrazvuka srca i angiosale</t>
        </r>
      </text>
    </comment>
    <comment ref="L14" authorId="1">
      <text>
        <r>
          <rPr>
            <b/>
            <sz val="8"/>
            <color indexed="81"/>
            <rFont val="Tahoma"/>
            <family val="2"/>
            <charset val="238"/>
          </rPr>
          <t>Author:</t>
        </r>
        <r>
          <rPr>
            <sz val="8"/>
            <color indexed="81"/>
            <rFont val="Tahoma"/>
            <family val="2"/>
            <charset val="238"/>
          </rPr>
          <t xml:space="preserve">
normativ uvecan zbog endoskopija</t>
        </r>
      </text>
    </comment>
    <comment ref="A15" authorId="0">
      <text>
        <r>
          <rPr>
            <b/>
            <sz val="8"/>
            <color indexed="81"/>
            <rFont val="Tahoma"/>
            <family val="2"/>
          </rPr>
          <t>andjelija.neskovic:</t>
        </r>
        <r>
          <rPr>
            <sz val="8"/>
            <color indexed="81"/>
            <rFont val="Tahoma"/>
            <family val="2"/>
          </rPr>
          <t xml:space="preserve">
pripada gastroenterologiji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andjelija.neskovic:</t>
        </r>
        <r>
          <rPr>
            <sz val="8"/>
            <color indexed="81"/>
            <rFont val="Tahoma"/>
            <family val="2"/>
          </rPr>
          <t xml:space="preserve">
zatvoren objekat, postelje i kadar prebaceni na druga odeljenja</t>
        </r>
      </text>
    </comment>
    <comment ref="L22" authorId="0">
      <text>
        <r>
          <rPr>
            <b/>
            <sz val="8"/>
            <color indexed="81"/>
            <rFont val="Tahoma"/>
            <family val="2"/>
          </rPr>
          <t>andjelija.neskovic:</t>
        </r>
        <r>
          <rPr>
            <sz val="8"/>
            <color indexed="81"/>
            <rFont val="Tahoma"/>
            <family val="2"/>
          </rPr>
          <t xml:space="preserve">
normativ uvecan zbog UZ kukova +1 zbog MI 352 hosp i 1543 pregleda</t>
        </r>
      </text>
    </comment>
    <comment ref="L25" authorId="2">
      <text>
        <r>
          <rPr>
            <b/>
            <sz val="9"/>
            <color indexed="81"/>
            <rFont val="Tahoma"/>
            <family val="2"/>
            <charset val="238"/>
          </rPr>
          <t>Biljana Budic:</t>
        </r>
        <r>
          <rPr>
            <sz val="9"/>
            <color indexed="81"/>
            <rFont val="Tahoma"/>
            <family val="2"/>
            <charset val="238"/>
          </rPr>
          <t xml:space="preserve">
dodato još 2</t>
        </r>
      </text>
    </comment>
    <comment ref="L26" authorId="0">
      <text>
        <r>
          <rPr>
            <b/>
            <sz val="8"/>
            <color indexed="81"/>
            <rFont val="Tahoma"/>
            <family val="2"/>
          </rPr>
          <t>andjelija.neskovic:</t>
        </r>
        <r>
          <rPr>
            <sz val="8"/>
            <color indexed="81"/>
            <rFont val="Tahoma"/>
            <family val="2"/>
          </rPr>
          <t xml:space="preserve">
normativ uvecan zbog endoskopija i UZ</t>
        </r>
      </text>
    </comment>
    <comment ref="L29" authorId="0">
      <text>
        <r>
          <rPr>
            <b/>
            <sz val="8"/>
            <color indexed="81"/>
            <rFont val="Tahoma"/>
            <family val="2"/>
          </rPr>
          <t>andjelija.neskovic:</t>
        </r>
        <r>
          <rPr>
            <sz val="8"/>
            <color indexed="81"/>
            <rFont val="Tahoma"/>
            <family val="2"/>
          </rPr>
          <t xml:space="preserve">
ne postoji nermativ, upisano postojece stanje kadra</t>
        </r>
      </text>
    </comment>
    <comment ref="L31" authorId="0">
      <text>
        <r>
          <rPr>
            <b/>
            <sz val="8"/>
            <color indexed="81"/>
            <rFont val="Tahoma"/>
            <family val="2"/>
          </rPr>
          <t>andjelija.neskovic:</t>
        </r>
        <r>
          <rPr>
            <sz val="8"/>
            <color indexed="81"/>
            <rFont val="Tahoma"/>
            <family val="2"/>
          </rPr>
          <t xml:space="preserve">
normativ uvecan zbog uz i za 1 zbog MI 239 hosp. i 1354 pregleda</t>
        </r>
      </text>
    </comment>
    <comment ref="L33" authorId="0">
      <text>
        <r>
          <rPr>
            <b/>
            <sz val="8"/>
            <color indexed="81"/>
            <rFont val="Tahoma"/>
            <family val="2"/>
          </rPr>
          <t>andjelija.neskovic:</t>
        </r>
        <r>
          <rPr>
            <sz val="8"/>
            <color indexed="81"/>
            <rFont val="Tahoma"/>
            <family val="2"/>
          </rPr>
          <t xml:space="preserve">
zbrinjavanje hitnih vrse interna, hirurgija i ORL</t>
        </r>
      </text>
    </comment>
  </commentList>
</comments>
</file>

<file path=xl/comments2.xml><?xml version="1.0" encoding="utf-8"?>
<comments xmlns="http://schemas.openxmlformats.org/spreadsheetml/2006/main">
  <authors>
    <author>nada.velickovic</author>
  </authors>
  <commentList>
    <comment ref="A9" authorId="0">
      <text>
        <r>
          <rPr>
            <b/>
            <sz val="9"/>
            <color indexed="81"/>
            <rFont val="Tahoma"/>
            <family val="2"/>
            <charset val="238"/>
          </rPr>
          <t>nada.velickovic:</t>
        </r>
        <r>
          <rPr>
            <sz val="9"/>
            <color indexed="81"/>
            <rFont val="Tahoma"/>
            <family val="2"/>
            <charset val="238"/>
          </rPr>
          <t xml:space="preserve">
ДОДАТИ ДВА ЛЕКАРА У ТАБЕЛИ</t>
        </r>
      </text>
    </comment>
  </commentList>
</comments>
</file>

<file path=xl/comments3.xml><?xml version="1.0" encoding="utf-8"?>
<comments xmlns="http://schemas.openxmlformats.org/spreadsheetml/2006/main">
  <authors>
    <author>andjelija.neskovic</author>
    <author>nada.velickovic</author>
  </authors>
  <commentList>
    <comment ref="H8" authorId="0">
      <text>
        <r>
          <rPr>
            <b/>
            <sz val="8"/>
            <color indexed="81"/>
            <rFont val="Tahoma"/>
            <family val="2"/>
          </rPr>
          <t>andjelija.neskovic:</t>
        </r>
        <r>
          <rPr>
            <sz val="8"/>
            <color indexed="81"/>
            <rFont val="Tahoma"/>
            <family val="2"/>
          </rPr>
          <t xml:space="preserve">
normativ uvecan za 1 zbog skrininga na ca dojke</t>
        </r>
      </text>
    </comment>
    <comment ref="G13" authorId="1">
      <text>
        <r>
          <rPr>
            <b/>
            <sz val="9"/>
            <color indexed="81"/>
            <rFont val="Tahoma"/>
            <family val="2"/>
            <charset val="238"/>
          </rPr>
          <t>nada.velickovic:</t>
        </r>
        <r>
          <rPr>
            <sz val="9"/>
            <color indexed="81"/>
            <rFont val="Tahoma"/>
            <family val="2"/>
            <charset val="238"/>
          </rPr>
          <t xml:space="preserve">
OLJA JAVILA IZMENU</t>
        </r>
      </text>
    </comment>
    <comment ref="H13" authorId="0">
      <text>
        <r>
          <rPr>
            <b/>
            <sz val="8"/>
            <color indexed="81"/>
            <rFont val="Tahoma"/>
            <family val="2"/>
          </rPr>
          <t>andjelija.neskovic:</t>
        </r>
        <r>
          <rPr>
            <sz val="8"/>
            <color indexed="81"/>
            <rFont val="Tahoma"/>
            <family val="2"/>
          </rPr>
          <t xml:space="preserve">
normativ uvecan zbog skrininga na ca grlica materice</t>
        </r>
      </text>
    </comment>
    <comment ref="H14" authorId="0">
      <text>
        <r>
          <rPr>
            <b/>
            <sz val="8"/>
            <color indexed="81"/>
            <rFont val="Tahoma"/>
            <family val="2"/>
          </rPr>
          <t>andjelija.neskovic:</t>
        </r>
        <r>
          <rPr>
            <sz val="8"/>
            <color indexed="81"/>
            <rFont val="Tahoma"/>
            <family val="2"/>
          </rPr>
          <t xml:space="preserve">
normativ uvecan zbog kolonoskopija u opstoj anesteziji, reanimacije AIM, porodjaja u epiduralu</t>
        </r>
      </text>
    </comment>
    <comment ref="H15" authorId="0">
      <text>
        <r>
          <rPr>
            <b/>
            <sz val="8"/>
            <color indexed="81"/>
            <rFont val="Tahoma"/>
            <family val="2"/>
          </rPr>
          <t>andjelija.neskovic:</t>
        </r>
        <r>
          <rPr>
            <sz val="8"/>
            <color indexed="81"/>
            <rFont val="Tahoma"/>
            <family val="2"/>
          </rPr>
          <t xml:space="preserve">
normativ uvecan ybog oko 9000 davanja krvi</t>
        </r>
      </text>
    </comment>
  </commentList>
</comments>
</file>

<file path=xl/sharedStrings.xml><?xml version="1.0" encoding="utf-8"?>
<sst xmlns="http://schemas.openxmlformats.org/spreadsheetml/2006/main" count="253" uniqueCount="199">
  <si>
    <t>УКУПНО</t>
  </si>
  <si>
    <t>Институт за јавно здравље Србије</t>
  </si>
  <si>
    <t>„Др Милан Јовановић Батут“</t>
  </si>
  <si>
    <t xml:space="preserve">ПЛАНСКО-ИЗВЕШТАЈНЕ ТАБЕЛЕ </t>
  </si>
  <si>
    <t>Инт.ниво 2</t>
  </si>
  <si>
    <t>Инт. ниво 3</t>
  </si>
  <si>
    <t>Стандардна нега</t>
  </si>
  <si>
    <t>Доктори медицине</t>
  </si>
  <si>
    <t>медицинске сестре-техничари</t>
  </si>
  <si>
    <t>здравствени сарадници</t>
  </si>
  <si>
    <t>разлика</t>
  </si>
  <si>
    <t>Број смена</t>
  </si>
  <si>
    <t>Број дијализа годишње</t>
  </si>
  <si>
    <t>Број постеља на који се примењује норматив</t>
  </si>
  <si>
    <t>Основна радиолошка дијагностика</t>
  </si>
  <si>
    <t>ЦТ</t>
  </si>
  <si>
    <t>МР</t>
  </si>
  <si>
    <t>Клиничко - биохемијска и хематолошка дијагностика</t>
  </si>
  <si>
    <t>Микробиолошка дијагностика</t>
  </si>
  <si>
    <t>Патологија, патохистологија и цитологија</t>
  </si>
  <si>
    <t>Анестезиологија са реанимацијом</t>
  </si>
  <si>
    <t>Трансфузиологија</t>
  </si>
  <si>
    <t>Нуклеарна медицина</t>
  </si>
  <si>
    <t>Физикална медицина и рехабилитација</t>
  </si>
  <si>
    <t>Фармацеутска здравствена делатност (болничка апотека)</t>
  </si>
  <si>
    <t>Социјална медицина, информатика и статистика</t>
  </si>
  <si>
    <t>Послови припреме дијета за пацијенте и контрола намирница</t>
  </si>
  <si>
    <t>Назив организационе једицине</t>
  </si>
  <si>
    <t>Административни</t>
  </si>
  <si>
    <t>Возачи санитетског превоза</t>
  </si>
  <si>
    <t>Норматив</t>
  </si>
  <si>
    <t>Технички</t>
  </si>
  <si>
    <t>ДИЈАЛИЗА</t>
  </si>
  <si>
    <t>Организациона јединица</t>
  </si>
  <si>
    <t>Делатност - служба  (у складу са Статутом)</t>
  </si>
  <si>
    <t>Постељни фонд (у складу са Уредбом)</t>
  </si>
  <si>
    <t>Увећано за примар</t>
  </si>
  <si>
    <t>ДОКТОРИ МЕДИЦИНЕ</t>
  </si>
  <si>
    <t>ФАРМАЦЕУТИ</t>
  </si>
  <si>
    <t>МЕДИЦИНСКЕ СЕСТРЕ/ТЕХНИЧАРИ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</si>
  <si>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</si>
  <si>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</si>
  <si>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</si>
  <si>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Разлика</t>
  </si>
  <si>
    <t>САДРЖАЈ</t>
  </si>
  <si>
    <t>Укупно</t>
  </si>
  <si>
    <t>8.</t>
  </si>
  <si>
    <t>стандардна нега</t>
  </si>
  <si>
    <t xml:space="preserve">Број лекара према нормативу </t>
  </si>
  <si>
    <t>Разлика - број лекара</t>
  </si>
  <si>
    <t>Број сестара према нормативу</t>
  </si>
  <si>
    <t>Разлика - број медицинских сестара</t>
  </si>
  <si>
    <t>Број здравствених сарадника према нормативу</t>
  </si>
  <si>
    <t>Разлика - број здравствених сарадника</t>
  </si>
  <si>
    <t>Инт. ниво3</t>
  </si>
  <si>
    <t xml:space="preserve"> амбуланте, кабинети, сале</t>
  </si>
  <si>
    <t>Увечано за примар</t>
  </si>
  <si>
    <t>доктори медицине</t>
  </si>
  <si>
    <t>мед. техничари</t>
  </si>
  <si>
    <t>здр. сарадници</t>
  </si>
  <si>
    <t>норматив</t>
  </si>
  <si>
    <t>Дијализе</t>
  </si>
  <si>
    <t>Број доктора медицине</t>
  </si>
  <si>
    <t>Број здравствених сарадника</t>
  </si>
  <si>
    <t>мед.техничари</t>
  </si>
  <si>
    <t>Клиничка фармакологија</t>
  </si>
  <si>
    <t>Напомена: попуњавају се подаци само за делатности које постоје у здравственој установи</t>
  </si>
  <si>
    <t>краткотрајна хоспитализација</t>
  </si>
  <si>
    <t>дуготрајна хоспитализација</t>
  </si>
  <si>
    <t>Број апарата, број операционих сала</t>
  </si>
  <si>
    <t>Назив здравствене установе</t>
  </si>
  <si>
    <t>Матични број здравствене установе</t>
  </si>
  <si>
    <t>Датум</t>
  </si>
  <si>
    <t>од тога на специјализацији</t>
  </si>
  <si>
    <t>од тога специјалисти</t>
  </si>
  <si>
    <t>Укупан број медицинских сестара</t>
  </si>
  <si>
    <t>Укупно норматив за сестре</t>
  </si>
  <si>
    <t>Број запослених на неодређено време који се финансирају из других средстава</t>
  </si>
  <si>
    <t>Број постеља/места*</t>
  </si>
  <si>
    <t>*За дијализе се попуњавају дијализна места</t>
  </si>
  <si>
    <t>Број запослених на неодређено време који се финансирају из средстава обавезног здравственог осигурања</t>
  </si>
  <si>
    <t>Број медицинских сестара</t>
  </si>
  <si>
    <t>норматив медицинских сестара</t>
  </si>
  <si>
    <t>разлика медицинских сестара</t>
  </si>
  <si>
    <t>норматив  здравствених сарадника</t>
  </si>
  <si>
    <t>разлика здравствених сарадника</t>
  </si>
  <si>
    <t>Укупан број доктора медицине</t>
  </si>
  <si>
    <t>Укупно норматив за докторе медицине</t>
  </si>
  <si>
    <t>норматив доктора медицине</t>
  </si>
  <si>
    <t>разлика доктора медицине</t>
  </si>
  <si>
    <t>Број фармацеута</t>
  </si>
  <si>
    <t>Број мед. сестара</t>
  </si>
  <si>
    <t>Број здр. сарадника</t>
  </si>
  <si>
    <t>Административни радници</t>
  </si>
  <si>
    <t>Технички радници</t>
  </si>
  <si>
    <t>Укупан кадар у здравственој установи</t>
  </si>
  <si>
    <t>Укупно запослених на неодређено време</t>
  </si>
  <si>
    <t>Капацитети и коришћење болничких постеља</t>
  </si>
  <si>
    <t>Пратиоци лечених лица</t>
  </si>
  <si>
    <t>Неонатологија</t>
  </si>
  <si>
    <t>Операције</t>
  </si>
  <si>
    <t>Крв и компоненте крви</t>
  </si>
  <si>
    <t>Лекови</t>
  </si>
  <si>
    <t>Имплантати</t>
  </si>
  <si>
    <t>Санитетски и медицински потрошни материјал</t>
  </si>
  <si>
    <t>Листе чекања</t>
  </si>
  <si>
    <t>Капацитети и коришћење дневних болница</t>
  </si>
  <si>
    <t>фармацеути</t>
  </si>
  <si>
    <t>Заједничке медицинске делатности</t>
  </si>
  <si>
    <t>Здравствени радници и сарадници на одељењима</t>
  </si>
  <si>
    <t>Здравствени радници и сарадници у дневној болници и дијализи</t>
  </si>
  <si>
    <t>Здравствени радници и сарадници у заједничким медицинским делатностима</t>
  </si>
  <si>
    <t>Немедицински радници</t>
  </si>
  <si>
    <t>основни норматив</t>
  </si>
  <si>
    <t>Укупан норматив</t>
  </si>
  <si>
    <t>Број запослених на одређено време због замене одсутних запослених</t>
  </si>
  <si>
    <t>Број запослених на одређено време због повећаног обима посла</t>
  </si>
  <si>
    <t>Дијагностички сродне групе (ДСГ)</t>
  </si>
  <si>
    <t>ЗА 2019. ГОДИНУ</t>
  </si>
  <si>
    <t>Здравствене услуге</t>
  </si>
  <si>
    <t>Дијагностичке процедуре са снимањем</t>
  </si>
  <si>
    <t>Лабораторијска дијагностика</t>
  </si>
  <si>
    <t>Крв и компоненте крви, институти и заводи за трансфузију</t>
  </si>
  <si>
    <t>Специјалистички прегледи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</si>
  <si>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</si>
  <si>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</si>
  <si>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</si>
  <si>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</si>
  <si>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</si>
  <si>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</si>
  <si>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</si>
  <si>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</si>
  <si>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</si>
  <si>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</si>
  <si>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</si>
  <si>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</si>
  <si>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</si>
  <si>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</si>
  <si>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</si>
  <si>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</si>
  <si>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</si>
  <si>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</si>
  <si>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</si>
  <si>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</si>
  <si>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</si>
  <si>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РБ</t>
  </si>
  <si>
    <t>Назив Табеле</t>
  </si>
  <si>
    <t xml:space="preserve">Табела 1. </t>
  </si>
  <si>
    <t xml:space="preserve">Табела 2. </t>
  </si>
  <si>
    <t xml:space="preserve">Табела 3. </t>
  </si>
  <si>
    <t xml:space="preserve">Табела 4. </t>
  </si>
  <si>
    <t xml:space="preserve">Табела 5. </t>
  </si>
  <si>
    <t>Табела 1.</t>
  </si>
  <si>
    <t>Табела 2.</t>
  </si>
  <si>
    <t>Табела 3.</t>
  </si>
  <si>
    <t>Табела 4.</t>
  </si>
  <si>
    <t>Табела 5.</t>
  </si>
  <si>
    <t>Интернистичка клиника</t>
  </si>
  <si>
    <t>служба неурологије</t>
  </si>
  <si>
    <t>одељење интензивне неге</t>
  </si>
  <si>
    <t>служба медикалне онкологије</t>
  </si>
  <si>
    <t>служба кардиологије</t>
  </si>
  <si>
    <t>служба гастроентерологије</t>
  </si>
  <si>
    <t>одсек интензивне неге</t>
  </si>
  <si>
    <t>служба пулмологије</t>
  </si>
  <si>
    <t>одсек тбц</t>
  </si>
  <si>
    <t>служба ендокринологије</t>
  </si>
  <si>
    <t>служба нефрологије</t>
  </si>
  <si>
    <t>служба хематологије</t>
  </si>
  <si>
    <t>служба интернистичке геријатрије</t>
  </si>
  <si>
    <t>болница за педијатрију</t>
  </si>
  <si>
    <t>клиника за хирургију</t>
  </si>
  <si>
    <t>служба неурохирургију</t>
  </si>
  <si>
    <t>служба орл са мфх</t>
  </si>
  <si>
    <t>служба урологије</t>
  </si>
  <si>
    <t>служба опште хирургије</t>
  </si>
  <si>
    <t>служба ортопедије</t>
  </si>
  <si>
    <t>служба баромедицине</t>
  </si>
  <si>
    <t>служба операционог блока са стерилизацијом и интензивном терапијом</t>
  </si>
  <si>
    <t>болница за гинекологију и акушерство</t>
  </si>
  <si>
    <t>служба за неонатологију</t>
  </si>
  <si>
    <t>сл. за пријем и збрињавање ургентних стања</t>
  </si>
  <si>
    <t>служба за спец. И консултативне прегледе</t>
  </si>
  <si>
    <t>-кабинет за офталмологију</t>
  </si>
  <si>
    <t>-кабинет за дерматовенерологију</t>
  </si>
  <si>
    <t>- кабинет за реуматологију</t>
  </si>
  <si>
    <t>- кабинет за неуропсихијатрију</t>
  </si>
  <si>
    <t>Дневна</t>
  </si>
  <si>
    <t>КБЦ ЗЕМУН</t>
  </si>
  <si>
    <t xml:space="preserve">У К У П Н О </t>
  </si>
  <si>
    <t>07030100</t>
  </si>
  <si>
    <t>КЛИНИЧКО БОЛНИЧКИ ЦЕНТАР ЗЕМУН-БЕОГРАД</t>
  </si>
  <si>
    <t>31.12.2019.</t>
  </si>
  <si>
    <t>Служба за правне и економско-финансијске послове</t>
  </si>
  <si>
    <t>Служба за техничке и друге сличне послове</t>
  </si>
  <si>
    <t>Служба за неонатологију у болници за гинекологију и акушерство</t>
  </si>
  <si>
    <t>Број исписаних болесника  2019.</t>
  </si>
  <si>
    <t>Број бо  дана  2019.</t>
  </si>
  <si>
    <t>Просечна дневна заузетост постеља 2019.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</si>
</sst>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)@"/>
    <numFmt numFmtId="166" formatCode="0;0;;@"/>
    <numFmt numFmtId="167" formatCode="#,##0.0"/>
  </numFmts>
  <fonts count="52">
    <font>
      <sz val="10"/>
      <name val="HelveticaPlain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HelveticaPlain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</font>
    <font>
      <sz val="8"/>
      <name val="HelveticaPlain"/>
    </font>
    <font>
      <b/>
      <sz val="11"/>
      <name val="Times New Roman"/>
      <family val="1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</font>
    <font>
      <b/>
      <sz val="11"/>
      <color indexed="12"/>
      <name val="Arial"/>
      <family val="2"/>
    </font>
    <font>
      <sz val="10"/>
      <name val="Cambria"/>
      <family val="1"/>
    </font>
    <font>
      <b/>
      <sz val="14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57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 tint="0.14996795556505021"/>
      <name val="Calibri"/>
      <family val="1"/>
      <scheme val="minor"/>
    </font>
    <font>
      <sz val="8"/>
      <name val="Calibri"/>
      <family val="1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b/>
      <sz val="9"/>
      <color rgb="FFFF0000"/>
      <name val="Times New Roman"/>
      <family val="1"/>
      <charset val="238"/>
    </font>
    <font>
      <sz val="9"/>
      <color theme="1"/>
      <name val="Arial"/>
      <family val="2"/>
    </font>
    <font>
      <b/>
      <sz val="8"/>
      <name val="Times New Roman"/>
      <family val="1"/>
      <charset val="238"/>
    </font>
    <font>
      <sz val="9"/>
      <color rgb="FFFF0000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  <charset val="238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7"/>
      <name val="Arial"/>
      <family val="2"/>
    </font>
    <font>
      <sz val="11"/>
      <name val="Times New Roman"/>
      <family val="1"/>
    </font>
    <font>
      <b/>
      <sz val="9"/>
      <color theme="1"/>
      <name val="Arial"/>
      <family val="2"/>
      <charset val="238"/>
    </font>
    <font>
      <b/>
      <sz val="9"/>
      <color theme="1"/>
      <name val="Arial"/>
      <family val="2"/>
    </font>
    <font>
      <b/>
      <sz val="18"/>
      <name val="Times New Roman"/>
      <family val="1"/>
    </font>
    <font>
      <b/>
      <sz val="10"/>
      <name val="Arial"/>
      <family val="2"/>
      <charset val="238"/>
    </font>
    <font>
      <sz val="8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CFFCC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/>
      <top style="double">
        <color indexed="56"/>
      </top>
      <bottom style="double">
        <color indexed="5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4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13" fillId="0" borderId="0">
      <alignment horizontal="left" vertical="center" indent="1"/>
    </xf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9" fillId="0" borderId="0"/>
    <xf numFmtId="0" fontId="24" fillId="0" borderId="0"/>
    <xf numFmtId="0" fontId="7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25" fillId="6" borderId="12">
      <alignment vertical="center"/>
    </xf>
    <xf numFmtId="0" fontId="26" fillId="0" borderId="12">
      <alignment horizontal="left" vertical="center" wrapText="1"/>
      <protection locked="0"/>
    </xf>
    <xf numFmtId="0" fontId="27" fillId="0" borderId="13" applyNumberFormat="0" applyFill="0" applyAlignment="0" applyProtection="0"/>
    <xf numFmtId="0" fontId="28" fillId="0" borderId="0"/>
  </cellStyleXfs>
  <cellXfs count="312">
    <xf numFmtId="0" fontId="0" fillId="0" borderId="0" xfId="0"/>
    <xf numFmtId="0" fontId="3" fillId="0" borderId="0" xfId="0" applyFont="1"/>
    <xf numFmtId="0" fontId="3" fillId="0" borderId="0" xfId="0" applyFont="1" applyBorder="1"/>
    <xf numFmtId="0" fontId="10" fillId="0" borderId="0" xfId="3" applyFont="1" applyProtection="1"/>
    <xf numFmtId="0" fontId="6" fillId="0" borderId="0" xfId="3" applyFont="1" applyAlignment="1" applyProtection="1"/>
    <xf numFmtId="3" fontId="10" fillId="0" borderId="0" xfId="3" applyNumberFormat="1" applyFont="1" applyProtection="1"/>
    <xf numFmtId="0" fontId="10" fillId="0" borderId="0" xfId="3" applyFont="1" applyAlignment="1" applyProtection="1">
      <alignment horizontal="center" vertical="center" wrapText="1"/>
    </xf>
    <xf numFmtId="0" fontId="3" fillId="0" borderId="0" xfId="3" applyFont="1" applyProtection="1"/>
    <xf numFmtId="3" fontId="10" fillId="0" borderId="0" xfId="3" applyNumberFormat="1" applyFont="1" applyAlignment="1" applyProtection="1">
      <alignment horizontal="center" vertical="center" wrapText="1"/>
    </xf>
    <xf numFmtId="0" fontId="10" fillId="0" borderId="0" xfId="3" applyFont="1" applyAlignment="1" applyProtection="1">
      <alignment horizontal="left" vertical="center" wrapText="1"/>
    </xf>
    <xf numFmtId="0" fontId="10" fillId="0" borderId="0" xfId="3" applyFont="1" applyAlignment="1" applyProtection="1">
      <alignment horizontal="left" wrapText="1"/>
    </xf>
    <xf numFmtId="0" fontId="10" fillId="0" borderId="0" xfId="3" applyFont="1" applyAlignment="1" applyProtection="1">
      <alignment wrapText="1"/>
    </xf>
    <xf numFmtId="3" fontId="10" fillId="0" borderId="0" xfId="3" applyNumberFormat="1" applyFont="1" applyAlignment="1" applyProtection="1">
      <alignment wrapText="1"/>
    </xf>
    <xf numFmtId="0" fontId="10" fillId="0" borderId="0" xfId="3" applyFont="1" applyAlignment="1" applyProtection="1">
      <alignment horizontal="left"/>
    </xf>
    <xf numFmtId="0" fontId="3" fillId="0" borderId="0" xfId="3" applyFont="1" applyAlignment="1" applyProtection="1">
      <alignment horizontal="center" wrapText="1"/>
    </xf>
    <xf numFmtId="0" fontId="3" fillId="0" borderId="0" xfId="3" applyFont="1" applyAlignment="1" applyProtection="1">
      <alignment wrapText="1"/>
    </xf>
    <xf numFmtId="0" fontId="10" fillId="0" borderId="0" xfId="3" applyFont="1" applyFill="1" applyProtection="1"/>
    <xf numFmtId="0" fontId="2" fillId="2" borderId="0" xfId="2" applyFill="1" applyAlignment="1" applyProtection="1"/>
    <xf numFmtId="0" fontId="3" fillId="0" borderId="0" xfId="3" applyFont="1" applyFill="1" applyProtection="1"/>
    <xf numFmtId="3" fontId="6" fillId="0" borderId="0" xfId="3" applyNumberFormat="1" applyFont="1" applyProtection="1"/>
    <xf numFmtId="0" fontId="6" fillId="0" borderId="0" xfId="3" applyFont="1" applyProtection="1"/>
    <xf numFmtId="3" fontId="6" fillId="0" borderId="0" xfId="3" applyNumberFormat="1" applyFont="1" applyAlignment="1" applyProtection="1">
      <alignment horizontal="center" vertical="center" wrapText="1"/>
    </xf>
    <xf numFmtId="3" fontId="6" fillId="0" borderId="0" xfId="3" applyNumberFormat="1" applyFont="1" applyAlignment="1" applyProtection="1">
      <alignment wrapText="1"/>
    </xf>
    <xf numFmtId="0" fontId="3" fillId="0" borderId="0" xfId="3" applyFont="1" applyAlignment="1" applyProtection="1">
      <alignment horizontal="right"/>
    </xf>
    <xf numFmtId="0" fontId="3" fillId="0" borderId="0" xfId="3" applyFont="1" applyAlignment="1" applyProtection="1">
      <alignment horizontal="center" vertical="center" wrapText="1"/>
    </xf>
    <xf numFmtId="0" fontId="9" fillId="0" borderId="0" xfId="3" applyFont="1" applyProtection="1"/>
    <xf numFmtId="0" fontId="10" fillId="0" borderId="0" xfId="3" applyFont="1" applyAlignment="1" applyProtection="1"/>
    <xf numFmtId="0" fontId="3" fillId="0" borderId="0" xfId="8" applyFont="1" applyProtection="1"/>
    <xf numFmtId="0" fontId="14" fillId="0" borderId="0" xfId="0" applyFont="1" applyFill="1" applyBorder="1" applyAlignment="1"/>
    <xf numFmtId="0" fontId="14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right"/>
    </xf>
    <xf numFmtId="0" fontId="27" fillId="0" borderId="13" xfId="13"/>
    <xf numFmtId="0" fontId="27" fillId="0" borderId="13" xfId="13" applyAlignment="1">
      <alignment vertical="center" wrapText="1"/>
    </xf>
    <xf numFmtId="0" fontId="10" fillId="0" borderId="0" xfId="3" applyFont="1" applyFill="1" applyAlignment="1" applyProtection="1">
      <alignment horizontal="center" vertical="center"/>
    </xf>
    <xf numFmtId="0" fontId="5" fillId="0" borderId="0" xfId="3" applyFont="1" applyAlignment="1" applyProtection="1">
      <alignment horizontal="center"/>
    </xf>
    <xf numFmtId="49" fontId="7" fillId="0" borderId="0" xfId="3" applyNumberFormat="1" applyFont="1" applyFill="1" applyProtection="1"/>
    <xf numFmtId="0" fontId="7" fillId="0" borderId="0" xfId="3" applyFont="1" applyAlignment="1" applyProtection="1">
      <alignment horizontal="left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3" fillId="0" borderId="0" xfId="3" applyFont="1" applyBorder="1" applyAlignment="1" applyProtection="1">
      <alignment wrapText="1"/>
    </xf>
    <xf numFmtId="0" fontId="3" fillId="0" borderId="0" xfId="3" applyFont="1" applyBorder="1" applyAlignment="1" applyProtection="1">
      <alignment horizontal="center" wrapText="1"/>
    </xf>
    <xf numFmtId="0" fontId="16" fillId="3" borderId="1" xfId="0" applyFont="1" applyFill="1" applyBorder="1" applyAlignment="1" applyProtection="1">
      <alignment horizontal="center" vertical="center" wrapText="1"/>
    </xf>
    <xf numFmtId="0" fontId="16" fillId="2" borderId="1" xfId="3" applyFont="1" applyFill="1" applyBorder="1" applyAlignment="1" applyProtection="1">
      <alignment horizontal="center" vertical="center" textRotation="90" wrapText="1"/>
    </xf>
    <xf numFmtId="0" fontId="17" fillId="0" borderId="0" xfId="3" applyFont="1" applyFill="1" applyBorder="1" applyAlignment="1" applyProtection="1">
      <alignment horizontal="left" wrapText="1"/>
    </xf>
    <xf numFmtId="0" fontId="17" fillId="0" borderId="0" xfId="3" applyFont="1" applyFill="1" applyBorder="1" applyAlignment="1" applyProtection="1">
      <alignment horizontal="left"/>
    </xf>
    <xf numFmtId="0" fontId="16" fillId="0" borderId="1" xfId="3" applyFont="1" applyBorder="1" applyAlignment="1" applyProtection="1">
      <alignment horizontal="center" vertical="center" wrapText="1"/>
      <protection locked="0"/>
    </xf>
    <xf numFmtId="3" fontId="16" fillId="4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3" applyFont="1" applyBorder="1" applyAlignment="1" applyProtection="1">
      <alignment horizontal="center" vertical="center"/>
      <protection locked="0"/>
    </xf>
    <xf numFmtId="0" fontId="16" fillId="0" borderId="0" xfId="3" applyFont="1" applyProtection="1"/>
    <xf numFmtId="0" fontId="16" fillId="0" borderId="0" xfId="3" applyFont="1" applyBorder="1" applyAlignment="1" applyProtection="1">
      <alignment vertical="center" wrapText="1"/>
    </xf>
    <xf numFmtId="0" fontId="16" fillId="0" borderId="0" xfId="3" applyFont="1" applyBorder="1" applyAlignment="1" applyProtection="1">
      <alignment vertical="center"/>
    </xf>
    <xf numFmtId="0" fontId="16" fillId="0" borderId="1" xfId="0" applyFont="1" applyBorder="1" applyAlignment="1" applyProtection="1">
      <alignment horizontal="center"/>
      <protection locked="0"/>
    </xf>
    <xf numFmtId="0" fontId="7" fillId="0" borderId="0" xfId="3" applyFont="1" applyProtection="1"/>
    <xf numFmtId="0" fontId="7" fillId="0" borderId="0" xfId="10" applyFont="1" applyAlignment="1" applyProtection="1">
      <alignment horizontal="right"/>
    </xf>
    <xf numFmtId="0" fontId="16" fillId="0" borderId="1" xfId="3" applyFont="1" applyBorder="1" applyAlignment="1" applyProtection="1">
      <alignment vertical="center" wrapText="1"/>
    </xf>
    <xf numFmtId="0" fontId="18" fillId="3" borderId="1" xfId="9" applyFont="1" applyFill="1" applyBorder="1" applyAlignment="1" applyProtection="1">
      <alignment horizontal="right"/>
    </xf>
    <xf numFmtId="0" fontId="7" fillId="0" borderId="0" xfId="3" applyNumberFormat="1" applyFont="1" applyFill="1" applyProtection="1"/>
    <xf numFmtId="0" fontId="17" fillId="0" borderId="0" xfId="3" applyFont="1" applyFill="1" applyBorder="1" applyAlignment="1" applyProtection="1">
      <alignment wrapText="1"/>
    </xf>
    <xf numFmtId="165" fontId="20" fillId="5" borderId="7" xfId="11" applyNumberFormat="1" applyFont="1" applyFill="1" applyBorder="1" applyProtection="1">
      <alignment vertical="center"/>
    </xf>
    <xf numFmtId="165" fontId="20" fillId="5" borderId="7" xfId="11" applyNumberFormat="1" applyFont="1" applyFill="1" applyBorder="1" applyAlignment="1" applyProtection="1">
      <alignment horizontal="right" vertical="center"/>
    </xf>
    <xf numFmtId="166" fontId="21" fillId="0" borderId="8" xfId="12" applyNumberFormat="1" applyFont="1" applyBorder="1" applyAlignment="1" applyProtection="1">
      <alignment horizontal="left" vertical="center" indent="1"/>
    </xf>
    <xf numFmtId="166" fontId="22" fillId="0" borderId="8" xfId="12" applyNumberFormat="1" applyFont="1" applyBorder="1" applyAlignment="1" applyProtection="1">
      <alignment horizontal="left" vertical="center"/>
    </xf>
    <xf numFmtId="166" fontId="21" fillId="0" borderId="9" xfId="12" applyNumberFormat="1" applyFont="1" applyBorder="1" applyAlignment="1" applyProtection="1">
      <alignment horizontal="right" vertical="center"/>
    </xf>
    <xf numFmtId="166" fontId="21" fillId="0" borderId="10" xfId="12" applyNumberFormat="1" applyFont="1" applyBorder="1" applyAlignment="1" applyProtection="1">
      <alignment horizontal="right" vertical="center"/>
    </xf>
    <xf numFmtId="166" fontId="21" fillId="0" borderId="9" xfId="12" applyNumberFormat="1" applyFont="1" applyBorder="1" applyAlignment="1" applyProtection="1">
      <alignment horizontal="left" vertical="center" indent="1"/>
    </xf>
    <xf numFmtId="166" fontId="22" fillId="0" borderId="9" xfId="12" applyNumberFormat="1" applyFont="1" applyBorder="1" applyAlignment="1" applyProtection="1">
      <alignment horizontal="left" vertical="center"/>
    </xf>
    <xf numFmtId="166" fontId="21" fillId="0" borderId="10" xfId="12" applyNumberFormat="1" applyFont="1" applyBorder="1" applyAlignment="1" applyProtection="1">
      <alignment horizontal="left" vertical="center" indent="1"/>
    </xf>
    <xf numFmtId="166" fontId="22" fillId="0" borderId="10" xfId="12" applyNumberFormat="1" applyFont="1" applyBorder="1" applyAlignment="1" applyProtection="1">
      <alignment horizontal="left" vertical="center"/>
    </xf>
    <xf numFmtId="165" fontId="20" fillId="5" borderId="8" xfId="11" applyNumberFormat="1" applyFont="1" applyFill="1" applyBorder="1" applyProtection="1">
      <alignment vertical="center"/>
    </xf>
    <xf numFmtId="165" fontId="20" fillId="5" borderId="10" xfId="11" applyNumberFormat="1" applyFont="1" applyFill="1" applyBorder="1" applyAlignment="1" applyProtection="1">
      <alignment horizontal="right" vertical="center"/>
    </xf>
    <xf numFmtId="0" fontId="16" fillId="2" borderId="1" xfId="3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left" vertical="center" wrapText="1"/>
    </xf>
    <xf numFmtId="0" fontId="16" fillId="2" borderId="1" xfId="0" applyFont="1" applyFill="1" applyBorder="1" applyAlignment="1" applyProtection="1">
      <alignment horizontal="left" wrapText="1"/>
    </xf>
    <xf numFmtId="0" fontId="17" fillId="2" borderId="1" xfId="0" applyFont="1" applyFill="1" applyBorder="1" applyAlignment="1" applyProtection="1">
      <alignment horizontal="center" vertical="center" textRotation="90" wrapText="1"/>
    </xf>
    <xf numFmtId="0" fontId="17" fillId="5" borderId="1" xfId="0" applyFont="1" applyFill="1" applyBorder="1" applyAlignment="1" applyProtection="1">
      <alignment horizontal="center" vertical="center" textRotation="90" wrapText="1"/>
    </xf>
    <xf numFmtId="3" fontId="17" fillId="2" borderId="1" xfId="0" applyNumberFormat="1" applyFont="1" applyFill="1" applyBorder="1" applyAlignment="1" applyProtection="1">
      <alignment horizontal="center" vertical="center" textRotation="90" wrapText="1"/>
    </xf>
    <xf numFmtId="3" fontId="17" fillId="2" borderId="1" xfId="3" applyNumberFormat="1" applyFont="1" applyFill="1" applyBorder="1" applyAlignment="1" applyProtection="1">
      <alignment horizontal="center" vertical="center" textRotation="90" wrapText="1"/>
    </xf>
    <xf numFmtId="0" fontId="16" fillId="0" borderId="1" xfId="3" applyFont="1" applyBorder="1" applyProtection="1">
      <protection locked="0"/>
    </xf>
    <xf numFmtId="0" fontId="16" fillId="0" borderId="1" xfId="8" applyFont="1" applyBorder="1" applyProtection="1">
      <protection locked="0"/>
    </xf>
    <xf numFmtId="0" fontId="18" fillId="3" borderId="1" xfId="8" applyFont="1" applyFill="1" applyBorder="1" applyAlignment="1" applyProtection="1">
      <alignment horizontal="right" vertical="center"/>
    </xf>
    <xf numFmtId="0" fontId="17" fillId="2" borderId="1" xfId="9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/>
    </xf>
    <xf numFmtId="0" fontId="16" fillId="3" borderId="1" xfId="3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textRotation="90" wrapText="1"/>
    </xf>
    <xf numFmtId="3" fontId="17" fillId="0" borderId="1" xfId="0" applyNumberFormat="1" applyFont="1" applyFill="1" applyBorder="1" applyAlignment="1" applyProtection="1">
      <alignment horizontal="center" vertical="center" textRotation="90" wrapText="1"/>
    </xf>
    <xf numFmtId="166" fontId="21" fillId="0" borderId="0" xfId="12" applyNumberFormat="1" applyFont="1" applyBorder="1" applyAlignment="1" applyProtection="1">
      <alignment horizontal="left" vertical="center" indent="1"/>
    </xf>
    <xf numFmtId="166" fontId="22" fillId="0" borderId="0" xfId="12" applyNumberFormat="1" applyFont="1" applyBorder="1" applyAlignment="1" applyProtection="1">
      <alignment horizontal="left" vertical="center"/>
    </xf>
    <xf numFmtId="166" fontId="21" fillId="0" borderId="8" xfId="12" applyNumberFormat="1" applyFont="1" applyFill="1" applyBorder="1" applyAlignment="1" applyProtection="1">
      <alignment horizontal="left" vertical="center" indent="1"/>
    </xf>
    <xf numFmtId="166" fontId="21" fillId="0" borderId="9" xfId="12" applyNumberFormat="1" applyFont="1" applyFill="1" applyBorder="1" applyAlignment="1" applyProtection="1">
      <alignment horizontal="left" vertical="center" wrapText="1" indent="1"/>
    </xf>
    <xf numFmtId="166" fontId="21" fillId="0" borderId="10" xfId="12" applyNumberFormat="1" applyFont="1" applyFill="1" applyBorder="1" applyAlignment="1" applyProtection="1">
      <alignment horizontal="left" vertical="center" wrapText="1" indent="1"/>
    </xf>
    <xf numFmtId="0" fontId="16" fillId="0" borderId="1" xfId="3" applyFont="1" applyFill="1" applyBorder="1" applyAlignment="1" applyProtection="1">
      <alignment horizontal="center" vertical="center" textRotation="90" wrapText="1"/>
    </xf>
    <xf numFmtId="0" fontId="16" fillId="0" borderId="1" xfId="3" applyFont="1" applyFill="1" applyBorder="1" applyAlignment="1" applyProtection="1">
      <alignment horizontal="center" vertical="center" wrapText="1"/>
      <protection locked="0"/>
    </xf>
    <xf numFmtId="166" fontId="22" fillId="0" borderId="14" xfId="12" applyNumberFormat="1" applyFont="1" applyBorder="1" applyAlignment="1" applyProtection="1">
      <alignment horizontal="left" vertical="center"/>
    </xf>
    <xf numFmtId="0" fontId="30" fillId="0" borderId="6" xfId="0" applyFont="1" applyBorder="1"/>
    <xf numFmtId="0" fontId="3" fillId="0" borderId="6" xfId="0" applyFont="1" applyBorder="1"/>
    <xf numFmtId="166" fontId="22" fillId="7" borderId="14" xfId="12" applyNumberFormat="1" applyFont="1" applyFill="1" applyBorder="1" applyAlignment="1" applyProtection="1">
      <alignment horizontal="left" vertical="center"/>
    </xf>
    <xf numFmtId="0" fontId="30" fillId="0" borderId="0" xfId="0" applyFont="1" applyBorder="1"/>
    <xf numFmtId="166" fontId="30" fillId="0" borderId="0" xfId="12" applyNumberFormat="1" applyFont="1" applyBorder="1" applyAlignment="1" applyProtection="1">
      <alignment horizontal="left" vertical="center"/>
    </xf>
    <xf numFmtId="166" fontId="30" fillId="0" borderId="0" xfId="12" applyNumberFormat="1" applyFont="1" applyFill="1" applyBorder="1" applyAlignment="1" applyProtection="1">
      <alignment horizontal="left" vertical="center"/>
    </xf>
    <xf numFmtId="166" fontId="22" fillId="0" borderId="0" xfId="12" applyNumberFormat="1" applyFont="1" applyFill="1" applyBorder="1" applyAlignment="1" applyProtection="1">
      <alignment horizontal="left" vertical="center"/>
    </xf>
    <xf numFmtId="166" fontId="30" fillId="7" borderId="0" xfId="12" applyNumberFormat="1" applyFont="1" applyFill="1" applyBorder="1" applyAlignment="1" applyProtection="1">
      <alignment horizontal="left" vertical="center"/>
    </xf>
    <xf numFmtId="166" fontId="30" fillId="8" borderId="0" xfId="12" applyNumberFormat="1" applyFont="1" applyFill="1" applyBorder="1" applyAlignment="1" applyProtection="1">
      <alignment horizontal="left" vertical="center"/>
    </xf>
    <xf numFmtId="166" fontId="22" fillId="8" borderId="0" xfId="12" applyNumberFormat="1" applyFont="1" applyFill="1" applyBorder="1" applyAlignment="1" applyProtection="1">
      <alignment horizontal="left" vertical="center"/>
    </xf>
    <xf numFmtId="166" fontId="30" fillId="9" borderId="0" xfId="12" applyNumberFormat="1" applyFont="1" applyFill="1" applyBorder="1" applyAlignment="1" applyProtection="1">
      <alignment horizontal="left" vertical="center"/>
    </xf>
    <xf numFmtId="166" fontId="22" fillId="9" borderId="0" xfId="12" applyNumberFormat="1" applyFont="1" applyFill="1" applyBorder="1" applyAlignment="1" applyProtection="1">
      <alignment horizontal="left" vertical="center"/>
    </xf>
    <xf numFmtId="0" fontId="16" fillId="12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164" fontId="32" fillId="13" borderId="1" xfId="4" applyNumberFormat="1" applyFont="1" applyFill="1" applyBorder="1" applyAlignment="1" applyProtection="1">
      <alignment horizontal="center" vertical="center" wrapText="1"/>
      <protection locked="0"/>
    </xf>
    <xf numFmtId="3" fontId="16" fillId="13" borderId="1" xfId="0" applyNumberFormat="1" applyFont="1" applyFill="1" applyBorder="1" applyAlignment="1" applyProtection="1">
      <alignment horizontal="center" vertical="center" wrapText="1"/>
      <protection locked="0"/>
    </xf>
    <xf numFmtId="3" fontId="16" fillId="13" borderId="1" xfId="0" applyNumberFormat="1" applyFont="1" applyFill="1" applyBorder="1" applyAlignment="1" applyProtection="1">
      <alignment horizontal="center" vertical="center" wrapText="1"/>
    </xf>
    <xf numFmtId="3" fontId="16" fillId="13" borderId="1" xfId="0" applyNumberFormat="1" applyFont="1" applyFill="1" applyBorder="1" applyAlignment="1" applyProtection="1">
      <alignment horizontal="center" vertical="center"/>
    </xf>
    <xf numFmtId="164" fontId="32" fillId="13" borderId="1" xfId="4" applyNumberFormat="1" applyFont="1" applyFill="1" applyBorder="1" applyAlignment="1" applyProtection="1">
      <alignment horizontal="center" vertical="center"/>
      <protection locked="0"/>
    </xf>
    <xf numFmtId="0" fontId="16" fillId="13" borderId="1" xfId="0" applyFont="1" applyFill="1" applyBorder="1" applyAlignment="1" applyProtection="1">
      <alignment horizontal="center" vertical="center" wrapText="1"/>
      <protection locked="0"/>
    </xf>
    <xf numFmtId="0" fontId="16" fillId="13" borderId="1" xfId="0" applyFont="1" applyFill="1" applyBorder="1" applyAlignment="1" applyProtection="1">
      <alignment horizontal="center" vertical="center"/>
    </xf>
    <xf numFmtId="0" fontId="33" fillId="0" borderId="1" xfId="0" applyFont="1" applyFill="1" applyBorder="1" applyAlignment="1" applyProtection="1">
      <alignment horizontal="center" vertical="center"/>
      <protection locked="0"/>
    </xf>
    <xf numFmtId="167" fontId="16" fillId="13" borderId="1" xfId="0" applyNumberFormat="1" applyFont="1" applyFill="1" applyBorder="1" applyAlignment="1" applyProtection="1">
      <alignment horizontal="center" vertical="center" wrapText="1"/>
    </xf>
    <xf numFmtId="167" fontId="16" fillId="13" borderId="1" xfId="0" applyNumberFormat="1" applyFont="1" applyFill="1" applyBorder="1" applyAlignment="1" applyProtection="1">
      <alignment horizontal="center" vertical="center"/>
    </xf>
    <xf numFmtId="1" fontId="32" fillId="13" borderId="1" xfId="4" applyNumberFormat="1" applyFont="1" applyFill="1" applyBorder="1" applyAlignment="1" applyProtection="1">
      <alignment horizontal="center" vertical="center"/>
      <protection locked="0"/>
    </xf>
    <xf numFmtId="1" fontId="32" fillId="14" borderId="1" xfId="4" applyNumberFormat="1" applyFont="1" applyFill="1" applyBorder="1" applyAlignment="1" applyProtection="1">
      <alignment horizontal="center" vertical="center" wrapText="1"/>
      <protection locked="0"/>
    </xf>
    <xf numFmtId="1" fontId="32" fillId="13" borderId="1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3" applyFont="1" applyBorder="1" applyProtection="1"/>
    <xf numFmtId="0" fontId="31" fillId="12" borderId="1" xfId="0" applyFont="1" applyFill="1" applyBorder="1" applyAlignment="1" applyProtection="1">
      <alignment horizontal="center" vertical="center" wrapText="1"/>
      <protection locked="0"/>
    </xf>
    <xf numFmtId="0" fontId="31" fillId="12" borderId="4" xfId="0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center" vertical="center"/>
      <protection locked="0"/>
    </xf>
    <xf numFmtId="0" fontId="33" fillId="0" borderId="4" xfId="0" applyFont="1" applyFill="1" applyBorder="1" applyAlignment="1" applyProtection="1">
      <alignment horizontal="center" vertical="center"/>
      <protection locked="0"/>
    </xf>
    <xf numFmtId="164" fontId="32" fillId="13" borderId="4" xfId="4" applyNumberFormat="1" applyFont="1" applyFill="1" applyBorder="1" applyAlignment="1" applyProtection="1">
      <alignment horizontal="center" vertical="center" wrapText="1"/>
      <protection locked="0"/>
    </xf>
    <xf numFmtId="3" fontId="16" fillId="13" borderId="4" xfId="0" applyNumberFormat="1" applyFont="1" applyFill="1" applyBorder="1" applyAlignment="1" applyProtection="1">
      <alignment horizontal="center" vertical="center" wrapText="1"/>
      <protection locked="0"/>
    </xf>
    <xf numFmtId="167" fontId="16" fillId="13" borderId="4" xfId="0" applyNumberFormat="1" applyFont="1" applyFill="1" applyBorder="1" applyAlignment="1" applyProtection="1">
      <alignment horizontal="center" vertical="center" wrapText="1"/>
    </xf>
    <xf numFmtId="167" fontId="16" fillId="13" borderId="4" xfId="0" applyNumberFormat="1" applyFont="1" applyFill="1" applyBorder="1" applyAlignment="1" applyProtection="1">
      <alignment horizontal="center" vertical="center"/>
    </xf>
    <xf numFmtId="1" fontId="34" fillId="13" borderId="4" xfId="4" applyNumberFormat="1" applyFont="1" applyFill="1" applyBorder="1" applyAlignment="1" applyProtection="1">
      <alignment horizontal="center" vertical="center"/>
      <protection locked="0"/>
    </xf>
    <xf numFmtId="1" fontId="32" fillId="14" borderId="4" xfId="4" applyNumberFormat="1" applyFont="1" applyFill="1" applyBorder="1" applyAlignment="1" applyProtection="1">
      <alignment horizontal="center" vertical="center" wrapText="1"/>
      <protection locked="0"/>
    </xf>
    <xf numFmtId="1" fontId="32" fillId="13" borderId="4" xfId="4" applyNumberFormat="1" applyFont="1" applyFill="1" applyBorder="1" applyAlignment="1" applyProtection="1">
      <alignment horizontal="center" vertical="center" wrapText="1"/>
      <protection locked="0"/>
    </xf>
    <xf numFmtId="0" fontId="16" fillId="16" borderId="15" xfId="0" applyFont="1" applyFill="1" applyBorder="1" applyAlignment="1" applyProtection="1">
      <alignment horizontal="left" vertical="center" wrapText="1"/>
      <protection locked="0"/>
    </xf>
    <xf numFmtId="0" fontId="31" fillId="12" borderId="16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164" fontId="32" fillId="13" borderId="16" xfId="4" applyNumberFormat="1" applyFont="1" applyFill="1" applyBorder="1" applyAlignment="1" applyProtection="1">
      <alignment horizontal="center" vertical="center" wrapText="1"/>
      <protection locked="0"/>
    </xf>
    <xf numFmtId="3" fontId="16" fillId="13" borderId="17" xfId="0" applyNumberFormat="1" applyFont="1" applyFill="1" applyBorder="1" applyAlignment="1" applyProtection="1">
      <alignment horizontal="center" vertical="center" wrapText="1"/>
      <protection locked="0"/>
    </xf>
    <xf numFmtId="3" fontId="16" fillId="13" borderId="16" xfId="0" applyNumberFormat="1" applyFont="1" applyFill="1" applyBorder="1" applyAlignment="1" applyProtection="1">
      <alignment horizontal="center" vertical="center" wrapText="1"/>
      <protection locked="0"/>
    </xf>
    <xf numFmtId="167" fontId="16" fillId="13" borderId="18" xfId="0" applyNumberFormat="1" applyFont="1" applyFill="1" applyBorder="1" applyAlignment="1" applyProtection="1">
      <alignment horizontal="center" vertical="center" wrapText="1"/>
    </xf>
    <xf numFmtId="167" fontId="16" fillId="13" borderId="16" xfId="0" applyNumberFormat="1" applyFont="1" applyFill="1" applyBorder="1" applyAlignment="1" applyProtection="1">
      <alignment horizontal="center" vertical="center"/>
    </xf>
    <xf numFmtId="1" fontId="32" fillId="13" borderId="16" xfId="4" applyNumberFormat="1" applyFont="1" applyFill="1" applyBorder="1" applyAlignment="1" applyProtection="1">
      <alignment horizontal="center" vertical="center"/>
      <protection locked="0"/>
    </xf>
    <xf numFmtId="1" fontId="32" fillId="14" borderId="16" xfId="4" applyNumberFormat="1" applyFont="1" applyFill="1" applyBorder="1" applyAlignment="1" applyProtection="1">
      <alignment horizontal="center" vertical="center" wrapText="1"/>
      <protection locked="0"/>
    </xf>
    <xf numFmtId="1" fontId="32" fillId="13" borderId="16" xfId="4" applyNumberFormat="1" applyFont="1" applyFill="1" applyBorder="1" applyAlignment="1" applyProtection="1">
      <alignment horizontal="center" vertical="center" wrapText="1"/>
      <protection locked="0"/>
    </xf>
    <xf numFmtId="167" fontId="16" fillId="13" borderId="16" xfId="0" applyNumberFormat="1" applyFont="1" applyFill="1" applyBorder="1" applyAlignment="1" applyProtection="1">
      <alignment horizontal="center" vertical="center" wrapText="1"/>
    </xf>
    <xf numFmtId="167" fontId="16" fillId="13" borderId="19" xfId="0" applyNumberFormat="1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6" fillId="16" borderId="20" xfId="0" applyFont="1" applyFill="1" applyBorder="1" applyAlignment="1" applyProtection="1">
      <alignment horizontal="left" vertical="center" wrapText="1"/>
      <protection locked="0"/>
    </xf>
    <xf numFmtId="0" fontId="16" fillId="12" borderId="5" xfId="0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Fill="1" applyBorder="1" applyAlignment="1" applyProtection="1">
      <alignment horizontal="center" vertical="center"/>
      <protection locked="0"/>
    </xf>
    <xf numFmtId="0" fontId="16" fillId="0" borderId="21" xfId="0" applyFont="1" applyFill="1" applyBorder="1" applyAlignment="1" applyProtection="1">
      <alignment horizontal="center" vertical="center"/>
      <protection locked="0"/>
    </xf>
    <xf numFmtId="164" fontId="32" fillId="13" borderId="5" xfId="4" applyNumberFormat="1" applyFont="1" applyFill="1" applyBorder="1" applyAlignment="1" applyProtection="1">
      <alignment horizontal="center" vertical="center" wrapText="1"/>
      <protection locked="0"/>
    </xf>
    <xf numFmtId="3" fontId="16" fillId="13" borderId="5" xfId="0" applyNumberFormat="1" applyFont="1" applyFill="1" applyBorder="1" applyAlignment="1" applyProtection="1">
      <alignment horizontal="center" vertical="center" wrapText="1"/>
      <protection locked="0"/>
    </xf>
    <xf numFmtId="3" fontId="16" fillId="13" borderId="23" xfId="0" applyNumberFormat="1" applyFont="1" applyFill="1" applyBorder="1" applyAlignment="1" applyProtection="1">
      <alignment horizontal="center" vertical="center" wrapText="1"/>
      <protection locked="0"/>
    </xf>
    <xf numFmtId="167" fontId="16" fillId="13" borderId="5" xfId="0" applyNumberFormat="1" applyFont="1" applyFill="1" applyBorder="1" applyAlignment="1" applyProtection="1">
      <alignment horizontal="center" vertical="center" wrapText="1"/>
    </xf>
    <xf numFmtId="167" fontId="16" fillId="13" borderId="5" xfId="0" applyNumberFormat="1" applyFont="1" applyFill="1" applyBorder="1" applyAlignment="1" applyProtection="1">
      <alignment horizontal="center" vertical="center"/>
    </xf>
    <xf numFmtId="1" fontId="32" fillId="13" borderId="5" xfId="4" applyNumberFormat="1" applyFont="1" applyFill="1" applyBorder="1" applyAlignment="1" applyProtection="1">
      <alignment horizontal="center" vertical="center"/>
      <protection locked="0"/>
    </xf>
    <xf numFmtId="1" fontId="32" fillId="14" borderId="5" xfId="4" applyNumberFormat="1" applyFont="1" applyFill="1" applyBorder="1" applyAlignment="1" applyProtection="1">
      <alignment horizontal="center" vertical="center" wrapText="1"/>
      <protection locked="0"/>
    </xf>
    <xf numFmtId="1" fontId="32" fillId="13" borderId="5" xfId="4" applyNumberFormat="1" applyFont="1" applyFill="1" applyBorder="1" applyAlignment="1" applyProtection="1">
      <alignment horizontal="center" vertical="center" wrapText="1"/>
      <protection locked="0"/>
    </xf>
    <xf numFmtId="167" fontId="16" fillId="13" borderId="24" xfId="0" applyNumberFormat="1" applyFont="1" applyFill="1" applyBorder="1" applyAlignment="1" applyProtection="1">
      <alignment horizontal="center" vertical="center"/>
    </xf>
    <xf numFmtId="0" fontId="31" fillId="12" borderId="2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164" fontId="32" fillId="13" borderId="2" xfId="4" applyNumberFormat="1" applyFont="1" applyFill="1" applyBorder="1" applyAlignment="1" applyProtection="1">
      <alignment horizontal="center" vertical="center" wrapText="1"/>
      <protection locked="0"/>
    </xf>
    <xf numFmtId="3" fontId="16" fillId="13" borderId="2" xfId="0" applyNumberFormat="1" applyFont="1" applyFill="1" applyBorder="1" applyAlignment="1" applyProtection="1">
      <alignment horizontal="center" vertical="center" wrapText="1"/>
      <protection locked="0"/>
    </xf>
    <xf numFmtId="167" fontId="16" fillId="13" borderId="2" xfId="0" applyNumberFormat="1" applyFont="1" applyFill="1" applyBorder="1" applyAlignment="1" applyProtection="1">
      <alignment horizontal="center" vertical="center" wrapText="1"/>
    </xf>
    <xf numFmtId="167" fontId="16" fillId="13" borderId="2" xfId="0" applyNumberFormat="1" applyFont="1" applyFill="1" applyBorder="1" applyAlignment="1" applyProtection="1">
      <alignment horizontal="center" vertical="center"/>
    </xf>
    <xf numFmtId="1" fontId="32" fillId="13" borderId="2" xfId="4" applyNumberFormat="1" applyFont="1" applyFill="1" applyBorder="1" applyAlignment="1" applyProtection="1">
      <alignment horizontal="center" vertical="center"/>
      <protection locked="0"/>
    </xf>
    <xf numFmtId="1" fontId="32" fillId="14" borderId="2" xfId="4" applyNumberFormat="1" applyFont="1" applyFill="1" applyBorder="1" applyAlignment="1" applyProtection="1">
      <alignment horizontal="center" vertical="center" wrapText="1"/>
      <protection locked="0"/>
    </xf>
    <xf numFmtId="1" fontId="32" fillId="13" borderId="2" xfId="4" applyNumberFormat="1" applyFont="1" applyFill="1" applyBorder="1" applyAlignment="1" applyProtection="1">
      <alignment horizontal="center" vertical="center" wrapText="1"/>
      <protection locked="0"/>
    </xf>
    <xf numFmtId="1" fontId="34" fillId="13" borderId="1" xfId="4" applyNumberFormat="1" applyFont="1" applyFill="1" applyBorder="1" applyAlignment="1" applyProtection="1">
      <alignment horizontal="center" vertical="center"/>
      <protection locked="0"/>
    </xf>
    <xf numFmtId="1" fontId="34" fillId="14" borderId="1" xfId="4" applyNumberFormat="1" applyFont="1" applyFill="1" applyBorder="1" applyAlignment="1" applyProtection="1">
      <alignment horizontal="center" vertical="center" wrapText="1"/>
      <protection locked="0"/>
    </xf>
    <xf numFmtId="1" fontId="34" fillId="13" borderId="1" xfId="4" applyNumberFormat="1" applyFont="1" applyFill="1" applyBorder="1" applyAlignment="1" applyProtection="1">
      <alignment horizontal="center" vertical="center" wrapText="1"/>
      <protection locked="0"/>
    </xf>
    <xf numFmtId="164" fontId="11" fillId="13" borderId="4" xfId="0" applyNumberFormat="1" applyFont="1" applyFill="1" applyBorder="1" applyAlignment="1" applyProtection="1">
      <alignment horizontal="center" vertical="center" wrapText="1"/>
      <protection locked="0"/>
    </xf>
    <xf numFmtId="164" fontId="5" fillId="13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13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14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13" borderId="1" xfId="0" applyNumberFormat="1" applyFont="1" applyFill="1" applyBorder="1" applyAlignment="1" applyProtection="1">
      <alignment horizontal="center" vertical="center" wrapText="1"/>
      <protection locked="0"/>
    </xf>
    <xf numFmtId="1" fontId="36" fillId="13" borderId="1" xfId="4" applyNumberFormat="1" applyFont="1" applyFill="1" applyBorder="1" applyAlignment="1" applyProtection="1">
      <alignment horizontal="center" vertical="center" wrapText="1"/>
      <protection locked="0"/>
    </xf>
    <xf numFmtId="167" fontId="37" fillId="13" borderId="1" xfId="0" applyNumberFormat="1" applyFont="1" applyFill="1" applyBorder="1" applyAlignment="1" applyProtection="1">
      <alignment horizontal="center" vertical="center"/>
    </xf>
    <xf numFmtId="0" fontId="16" fillId="7" borderId="1" xfId="0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 vertical="center"/>
      <protection locked="0"/>
    </xf>
    <xf numFmtId="0" fontId="16" fillId="10" borderId="1" xfId="0" applyFont="1" applyFill="1" applyBorder="1" applyAlignment="1" applyProtection="1">
      <alignment horizontal="center" vertical="center" wrapText="1"/>
      <protection locked="0"/>
    </xf>
    <xf numFmtId="0" fontId="16" fillId="13" borderId="1" xfId="0" applyFont="1" applyFill="1" applyBorder="1" applyAlignment="1" applyProtection="1">
      <alignment horizontal="center" vertical="center"/>
      <protection locked="0"/>
    </xf>
    <xf numFmtId="1" fontId="31" fillId="0" borderId="1" xfId="0" applyNumberFormat="1" applyFont="1" applyFill="1" applyBorder="1" applyAlignment="1" applyProtection="1">
      <alignment horizontal="center" vertical="center" wrapText="1"/>
    </xf>
    <xf numFmtId="1" fontId="31" fillId="13" borderId="1" xfId="0" applyNumberFormat="1" applyFont="1" applyFill="1" applyBorder="1" applyAlignment="1" applyProtection="1">
      <alignment horizontal="center" vertical="center" wrapText="1"/>
    </xf>
    <xf numFmtId="167" fontId="45" fillId="13" borderId="1" xfId="0" applyNumberFormat="1" applyFont="1" applyFill="1" applyBorder="1" applyAlignment="1" applyProtection="1">
      <alignment horizontal="center" vertical="center" wrapText="1"/>
    </xf>
    <xf numFmtId="167" fontId="31" fillId="13" borderId="1" xfId="0" applyNumberFormat="1" applyFont="1" applyFill="1" applyBorder="1" applyAlignment="1" applyProtection="1">
      <alignment horizontal="center" vertical="center"/>
    </xf>
    <xf numFmtId="167" fontId="17" fillId="13" borderId="1" xfId="0" applyNumberFormat="1" applyFont="1" applyFill="1" applyBorder="1" applyAlignment="1" applyProtection="1">
      <alignment horizontal="center" vertical="center" wrapText="1"/>
    </xf>
    <xf numFmtId="167" fontId="45" fillId="13" borderId="1" xfId="0" applyNumberFormat="1" applyFont="1" applyFill="1" applyBorder="1" applyAlignment="1" applyProtection="1">
      <alignment horizontal="center" vertical="center"/>
    </xf>
    <xf numFmtId="164" fontId="31" fillId="13" borderId="1" xfId="0" applyNumberFormat="1" applyFont="1" applyFill="1" applyBorder="1" applyAlignment="1" applyProtection="1">
      <alignment horizontal="center" vertical="center" wrapText="1"/>
    </xf>
    <xf numFmtId="164" fontId="31" fillId="13" borderId="1" xfId="0" applyNumberFormat="1" applyFont="1" applyFill="1" applyBorder="1" applyAlignment="1" applyProtection="1">
      <alignment horizontal="center" vertical="center"/>
    </xf>
    <xf numFmtId="0" fontId="16" fillId="10" borderId="1" xfId="3" applyFont="1" applyFill="1" applyBorder="1" applyAlignment="1" applyProtection="1">
      <alignment horizontal="center" vertical="center" wrapText="1"/>
      <protection locked="0"/>
    </xf>
    <xf numFmtId="164" fontId="46" fillId="13" borderId="23" xfId="14" applyNumberFormat="1" applyFont="1" applyFill="1" applyBorder="1" applyAlignment="1" applyProtection="1">
      <alignment horizontal="center" vertical="center" wrapText="1"/>
      <protection locked="0"/>
    </xf>
    <xf numFmtId="0" fontId="16" fillId="13" borderId="1" xfId="0" applyFont="1" applyFill="1" applyBorder="1" applyAlignment="1" applyProtection="1">
      <alignment horizontal="center" vertical="center" wrapText="1"/>
    </xf>
    <xf numFmtId="0" fontId="47" fillId="0" borderId="1" xfId="3" applyFont="1" applyBorder="1" applyAlignment="1" applyProtection="1">
      <alignment horizontal="center" vertical="center" wrapText="1"/>
      <protection locked="0"/>
    </xf>
    <xf numFmtId="0" fontId="35" fillId="10" borderId="1" xfId="3" applyFont="1" applyFill="1" applyBorder="1" applyAlignment="1" applyProtection="1">
      <alignment horizontal="center" vertical="center" wrapText="1"/>
      <protection locked="0"/>
    </xf>
    <xf numFmtId="0" fontId="47" fillId="0" borderId="1" xfId="0" applyFont="1" applyFill="1" applyBorder="1" applyAlignment="1" applyProtection="1">
      <alignment horizontal="center" vertical="center" wrapText="1"/>
      <protection locked="0"/>
    </xf>
    <xf numFmtId="0" fontId="3" fillId="13" borderId="2" xfId="0" applyFont="1" applyFill="1" applyBorder="1" applyAlignment="1" applyProtection="1">
      <alignment horizont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164" fontId="3" fillId="13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13" borderId="1" xfId="0" applyNumberFormat="1" applyFont="1" applyFill="1" applyBorder="1" applyAlignment="1" applyProtection="1">
      <alignment horizontal="center" vertical="center" wrapText="1"/>
    </xf>
    <xf numFmtId="164" fontId="3" fillId="13" borderId="1" xfId="0" applyNumberFormat="1" applyFont="1" applyFill="1" applyBorder="1" applyAlignment="1" applyProtection="1">
      <alignment horizontal="center" vertical="center" wrapText="1"/>
      <protection locked="0"/>
    </xf>
    <xf numFmtId="3" fontId="16" fillId="13" borderId="1" xfId="3" applyNumberFormat="1" applyFont="1" applyFill="1" applyBorder="1" applyAlignment="1" applyProtection="1">
      <alignment horizontal="center" vertical="center" wrapText="1"/>
    </xf>
    <xf numFmtId="0" fontId="35" fillId="0" borderId="1" xfId="0" applyFont="1" applyFill="1" applyBorder="1" applyAlignment="1" applyProtection="1">
      <alignment horizontal="center" vertical="center" wrapText="1"/>
      <protection locked="0"/>
    </xf>
    <xf numFmtId="0" fontId="48" fillId="0" borderId="1" xfId="0" applyFont="1" applyFill="1" applyBorder="1" applyAlignment="1" applyProtection="1">
      <alignment horizontal="center" vertical="center" wrapText="1"/>
      <protection locked="0"/>
    </xf>
    <xf numFmtId="1" fontId="3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" xfId="0" applyFont="1" applyFill="1" applyBorder="1" applyAlignment="1" applyProtection="1">
      <alignment horizontal="center" vertical="center" wrapText="1"/>
      <protection locked="0"/>
    </xf>
    <xf numFmtId="1" fontId="16" fillId="13" borderId="1" xfId="0" applyNumberFormat="1" applyFont="1" applyFill="1" applyBorder="1" applyAlignment="1" applyProtection="1">
      <alignment horizontal="center" vertical="center" wrapText="1"/>
    </xf>
    <xf numFmtId="0" fontId="5" fillId="13" borderId="0" xfId="3" applyFont="1" applyFill="1" applyAlignment="1" applyProtection="1">
      <alignment horizontal="center" vertical="center" wrapText="1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wrapText="1"/>
      <protection locked="0"/>
    </xf>
    <xf numFmtId="0" fontId="3" fillId="13" borderId="1" xfId="0" applyFont="1" applyFill="1" applyBorder="1" applyAlignment="1" applyProtection="1">
      <alignment horizontal="center" wrapText="1"/>
      <protection locked="0"/>
    </xf>
    <xf numFmtId="0" fontId="16" fillId="19" borderId="1" xfId="0" applyFont="1" applyFill="1" applyBorder="1" applyAlignment="1" applyProtection="1">
      <alignment horizontal="center" vertical="center" wrapText="1"/>
    </xf>
    <xf numFmtId="1" fontId="16" fillId="19" borderId="1" xfId="0" applyNumberFormat="1" applyFont="1" applyFill="1" applyBorder="1" applyAlignment="1" applyProtection="1">
      <alignment horizontal="center" vertical="center" wrapText="1"/>
    </xf>
    <xf numFmtId="3" fontId="16" fillId="19" borderId="1" xfId="0" applyNumberFormat="1" applyFont="1" applyFill="1" applyBorder="1" applyAlignment="1" applyProtection="1">
      <alignment horizontal="center" vertical="center" wrapText="1"/>
    </xf>
    <xf numFmtId="0" fontId="16" fillId="19" borderId="1" xfId="3" applyFont="1" applyFill="1" applyBorder="1" applyAlignment="1" applyProtection="1">
      <alignment horizontal="center" vertical="center" wrapText="1"/>
    </xf>
    <xf numFmtId="167" fontId="27" fillId="0" borderId="13" xfId="13" applyNumberFormat="1"/>
    <xf numFmtId="0" fontId="11" fillId="13" borderId="1" xfId="0" applyFont="1" applyFill="1" applyBorder="1" applyAlignment="1" applyProtection="1">
      <alignment horizontal="center" vertical="center"/>
      <protection locked="0"/>
    </xf>
    <xf numFmtId="167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31" fillId="0" borderId="4" xfId="0" applyNumberFormat="1" applyFont="1" applyFill="1" applyBorder="1" applyAlignment="1" applyProtection="1">
      <alignment horizontal="center" vertical="center" wrapText="1"/>
      <protection locked="0"/>
    </xf>
    <xf numFmtId="167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1" fillId="11" borderId="1" xfId="0" applyFont="1" applyFill="1" applyBorder="1" applyAlignment="1" applyProtection="1">
      <alignment horizontal="center" vertical="center" wrapText="1"/>
      <protection locked="0"/>
    </xf>
    <xf numFmtId="3" fontId="31" fillId="11" borderId="1" xfId="0" applyNumberFormat="1" applyFont="1" applyFill="1" applyBorder="1" applyAlignment="1" applyProtection="1">
      <alignment horizontal="center" vertical="center" wrapText="1"/>
      <protection locked="0"/>
    </xf>
    <xf numFmtId="3" fontId="16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3" xfId="13" applyProtection="1">
      <protection locked="0"/>
    </xf>
    <xf numFmtId="0" fontId="27" fillId="0" borderId="11" xfId="13" applyBorder="1" applyProtection="1">
      <protection locked="0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6" fillId="7" borderId="3" xfId="0" applyFont="1" applyFill="1" applyBorder="1" applyAlignment="1" applyProtection="1">
      <alignment horizontal="center" vertical="center"/>
      <protection locked="0"/>
    </xf>
    <xf numFmtId="0" fontId="35" fillId="7" borderId="3" xfId="0" applyFont="1" applyFill="1" applyBorder="1" applyAlignment="1" applyProtection="1">
      <alignment horizontal="center" vertical="center"/>
      <protection locked="0"/>
    </xf>
    <xf numFmtId="0" fontId="16" fillId="10" borderId="27" xfId="0" applyFont="1" applyFill="1" applyBorder="1" applyAlignment="1" applyProtection="1">
      <alignment horizontal="left" vertical="center" wrapText="1"/>
      <protection locked="0"/>
    </xf>
    <xf numFmtId="0" fontId="31" fillId="11" borderId="28" xfId="0" applyFont="1" applyFill="1" applyBorder="1" applyAlignment="1" applyProtection="1">
      <alignment horizontal="center" vertical="center" wrapText="1"/>
    </xf>
    <xf numFmtId="0" fontId="16" fillId="15" borderId="27" xfId="0" applyFont="1" applyFill="1" applyBorder="1" applyAlignment="1" applyProtection="1">
      <alignment horizontal="left" vertical="center" wrapText="1"/>
      <protection locked="0"/>
    </xf>
    <xf numFmtId="0" fontId="31" fillId="12" borderId="28" xfId="0" applyFont="1" applyFill="1" applyBorder="1" applyAlignment="1" applyProtection="1">
      <alignment horizontal="center" vertical="center" wrapText="1"/>
    </xf>
    <xf numFmtId="0" fontId="16" fillId="10" borderId="29" xfId="0" applyFont="1" applyFill="1" applyBorder="1" applyAlignment="1" applyProtection="1">
      <alignment horizontal="left" vertical="center" wrapText="1"/>
      <protection locked="0"/>
    </xf>
    <xf numFmtId="0" fontId="31" fillId="12" borderId="30" xfId="0" applyFont="1" applyFill="1" applyBorder="1" applyAlignment="1" applyProtection="1">
      <alignment horizontal="center" vertical="center" wrapText="1"/>
    </xf>
    <xf numFmtId="0" fontId="31" fillId="12" borderId="19" xfId="0" applyFont="1" applyFill="1" applyBorder="1" applyAlignment="1" applyProtection="1">
      <alignment horizontal="center" vertical="center" wrapText="1"/>
    </xf>
    <xf numFmtId="0" fontId="16" fillId="12" borderId="24" xfId="0" applyFont="1" applyFill="1" applyBorder="1" applyAlignment="1" applyProtection="1">
      <alignment horizontal="center" vertical="center" wrapText="1"/>
    </xf>
    <xf numFmtId="0" fontId="16" fillId="10" borderId="31" xfId="0" applyFont="1" applyFill="1" applyBorder="1" applyAlignment="1" applyProtection="1">
      <alignment horizontal="left" vertical="center" wrapText="1"/>
      <protection locked="0"/>
    </xf>
    <xf numFmtId="0" fontId="31" fillId="12" borderId="32" xfId="0" applyFont="1" applyFill="1" applyBorder="1" applyAlignment="1" applyProtection="1">
      <alignment horizontal="center" vertical="center" wrapText="1"/>
    </xf>
    <xf numFmtId="0" fontId="35" fillId="10" borderId="27" xfId="0" applyFont="1" applyFill="1" applyBorder="1" applyAlignment="1" applyProtection="1">
      <alignment horizontal="left" vertical="center" wrapText="1"/>
      <protection locked="0"/>
    </xf>
    <xf numFmtId="0" fontId="35" fillId="17" borderId="27" xfId="0" applyFont="1" applyFill="1" applyBorder="1" applyAlignment="1" applyProtection="1">
      <alignment horizontal="left" vertical="center" wrapText="1"/>
      <protection locked="0"/>
    </xf>
    <xf numFmtId="0" fontId="35" fillId="18" borderId="27" xfId="0" applyFont="1" applyFill="1" applyBorder="1" applyAlignment="1" applyProtection="1">
      <alignment horizontal="left" vertical="center" wrapText="1"/>
      <protection locked="0"/>
    </xf>
    <xf numFmtId="0" fontId="38" fillId="18" borderId="27" xfId="0" applyFont="1" applyFill="1" applyBorder="1" applyAlignment="1" applyProtection="1">
      <alignment horizontal="left" vertical="center" wrapText="1"/>
      <protection locked="0"/>
    </xf>
    <xf numFmtId="0" fontId="16" fillId="12" borderId="28" xfId="0" applyFont="1" applyFill="1" applyBorder="1" applyAlignment="1" applyProtection="1">
      <alignment horizontal="center" vertical="center" wrapText="1"/>
    </xf>
    <xf numFmtId="49" fontId="39" fillId="10" borderId="27" xfId="0" applyNumberFormat="1" applyFont="1" applyFill="1" applyBorder="1" applyAlignment="1" applyProtection="1">
      <alignment horizontal="left" vertical="center" wrapText="1"/>
      <protection locked="0"/>
    </xf>
    <xf numFmtId="0" fontId="50" fillId="3" borderId="20" xfId="0" applyFont="1" applyFill="1" applyBorder="1" applyAlignment="1" applyProtection="1">
      <alignment horizontal="center" vertical="center" wrapText="1"/>
    </xf>
    <xf numFmtId="0" fontId="31" fillId="3" borderId="5" xfId="0" applyFont="1" applyFill="1" applyBorder="1" applyAlignment="1" applyProtection="1">
      <alignment horizontal="center" vertical="center" wrapText="1"/>
    </xf>
    <xf numFmtId="1" fontId="31" fillId="12" borderId="5" xfId="0" applyNumberFormat="1" applyFont="1" applyFill="1" applyBorder="1" applyAlignment="1" applyProtection="1">
      <alignment horizontal="center" vertical="center" wrapText="1"/>
    </xf>
    <xf numFmtId="1" fontId="31" fillId="12" borderId="24" xfId="0" applyNumberFormat="1" applyFont="1" applyFill="1" applyBorder="1" applyAlignment="1" applyProtection="1">
      <alignment horizontal="center" vertical="center" wrapText="1"/>
    </xf>
    <xf numFmtId="0" fontId="16" fillId="7" borderId="25" xfId="0" applyFont="1" applyFill="1" applyBorder="1" applyAlignment="1" applyProtection="1">
      <alignment horizontal="center" vertical="center"/>
      <protection locked="0"/>
    </xf>
    <xf numFmtId="0" fontId="16" fillId="7" borderId="18" xfId="0" applyFont="1" applyFill="1" applyBorder="1" applyAlignment="1" applyProtection="1">
      <alignment horizontal="center" vertical="center"/>
      <protection locked="0"/>
    </xf>
    <xf numFmtId="0" fontId="16" fillId="7" borderId="22" xfId="0" applyFont="1" applyFill="1" applyBorder="1" applyAlignment="1" applyProtection="1">
      <alignment horizontal="center" vertical="center"/>
      <protection locked="0"/>
    </xf>
    <xf numFmtId="0" fontId="31" fillId="7" borderId="26" xfId="0" applyFont="1" applyFill="1" applyBorder="1" applyAlignment="1" applyProtection="1">
      <alignment horizontal="center" vertical="center"/>
      <protection locked="0"/>
    </xf>
    <xf numFmtId="0" fontId="33" fillId="7" borderId="3" xfId="0" applyFont="1" applyFill="1" applyBorder="1" applyAlignment="1" applyProtection="1">
      <alignment horizontal="center" vertical="center"/>
      <protection locked="0"/>
    </xf>
    <xf numFmtId="1" fontId="31" fillId="7" borderId="3" xfId="0" applyNumberFormat="1" applyFont="1" applyFill="1" applyBorder="1" applyAlignment="1" applyProtection="1">
      <alignment horizontal="center" vertical="center" wrapText="1"/>
    </xf>
    <xf numFmtId="0" fontId="16" fillId="7" borderId="4" xfId="0" applyFont="1" applyFill="1" applyBorder="1" applyAlignment="1" applyProtection="1">
      <alignment horizontal="center" vertical="center"/>
      <protection locked="0"/>
    </xf>
    <xf numFmtId="0" fontId="16" fillId="7" borderId="2" xfId="0" applyFont="1" applyFill="1" applyBorder="1" applyAlignment="1" applyProtection="1">
      <alignment horizontal="center" vertical="center"/>
      <protection locked="0"/>
    </xf>
    <xf numFmtId="1" fontId="31" fillId="7" borderId="1" xfId="0" applyNumberFormat="1" applyFont="1" applyFill="1" applyBorder="1" applyAlignment="1" applyProtection="1">
      <alignment horizontal="center" vertical="center" wrapText="1"/>
    </xf>
    <xf numFmtId="3" fontId="10" fillId="7" borderId="0" xfId="3" applyNumberFormat="1" applyFont="1" applyFill="1" applyAlignment="1" applyProtection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  <protection locked="0"/>
    </xf>
    <xf numFmtId="0" fontId="39" fillId="7" borderId="1" xfId="0" applyFont="1" applyFill="1" applyBorder="1" applyAlignment="1" applyProtection="1">
      <alignment horizontal="center" vertical="center" wrapText="1"/>
      <protection locked="0"/>
    </xf>
    <xf numFmtId="3" fontId="16" fillId="7" borderId="1" xfId="3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Fill="1" applyBorder="1" applyAlignment="1" applyProtection="1">
      <protection locked="0"/>
    </xf>
    <xf numFmtId="0" fontId="14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3" fontId="11" fillId="13" borderId="1" xfId="0" applyNumberFormat="1" applyFont="1" applyFill="1" applyBorder="1" applyAlignment="1" applyProtection="1">
      <alignment horizontal="center" vertical="center"/>
      <protection locked="0"/>
    </xf>
    <xf numFmtId="0" fontId="48" fillId="7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3" applyFont="1" applyBorder="1" applyAlignment="1" applyProtection="1">
      <alignment vertical="justify"/>
      <protection locked="0"/>
    </xf>
    <xf numFmtId="0" fontId="16" fillId="0" borderId="1" xfId="9" applyFont="1" applyFill="1" applyBorder="1" applyAlignment="1" applyProtection="1">
      <alignment horizontal="right" vertical="center"/>
      <protection locked="0"/>
    </xf>
    <xf numFmtId="0" fontId="16" fillId="13" borderId="1" xfId="9" applyFont="1" applyFill="1" applyBorder="1" applyAlignment="1" applyProtection="1">
      <alignment horizontal="right" vertical="center"/>
      <protection locked="0"/>
    </xf>
    <xf numFmtId="0" fontId="16" fillId="13" borderId="1" xfId="9" applyFont="1" applyFill="1" applyBorder="1" applyAlignment="1" applyProtection="1">
      <alignment horizontal="right" vertical="center"/>
    </xf>
    <xf numFmtId="0" fontId="18" fillId="3" borderId="1" xfId="9" applyFont="1" applyFill="1" applyBorder="1" applyAlignment="1" applyProtection="1">
      <alignment horizontal="right" vertical="center"/>
    </xf>
    <xf numFmtId="0" fontId="18" fillId="4" borderId="1" xfId="9" applyFont="1" applyFill="1" applyBorder="1" applyAlignment="1" applyProtection="1">
      <alignment horizontal="right" vertical="center"/>
    </xf>
    <xf numFmtId="0" fontId="16" fillId="13" borderId="1" xfId="9" applyFont="1" applyFill="1" applyBorder="1" applyAlignment="1" applyProtection="1">
      <alignment horizontal="right" vertical="center" wrapText="1"/>
      <protection locked="0"/>
    </xf>
    <xf numFmtId="0" fontId="16" fillId="0" borderId="1" xfId="9" applyFont="1" applyBorder="1" applyAlignment="1" applyProtection="1">
      <alignment horizontal="right" vertical="center"/>
      <protection locked="0"/>
    </xf>
    <xf numFmtId="0" fontId="16" fillId="0" borderId="1" xfId="9" applyFont="1" applyBorder="1" applyAlignment="1" applyProtection="1">
      <alignment horizontal="right" vertical="center" wrapText="1"/>
      <protection locked="0"/>
    </xf>
    <xf numFmtId="0" fontId="16" fillId="0" borderId="1" xfId="3" applyFont="1" applyBorder="1" applyAlignment="1" applyProtection="1">
      <alignment horizontal="left" vertical="center"/>
      <protection locked="0"/>
    </xf>
    <xf numFmtId="167" fontId="31" fillId="19" borderId="5" xfId="0" applyNumberFormat="1" applyFont="1" applyFill="1" applyBorder="1" applyAlignment="1" applyProtection="1">
      <alignment horizontal="center" vertical="center" wrapText="1"/>
      <protection locked="0"/>
    </xf>
    <xf numFmtId="167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3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1" fillId="10" borderId="27" xfId="0" applyFont="1" applyFill="1" applyBorder="1" applyAlignment="1" applyProtection="1">
      <alignment horizontal="left" vertical="center" wrapText="1"/>
      <protection locked="0"/>
    </xf>
    <xf numFmtId="3" fontId="31" fillId="3" borderId="5" xfId="0" applyNumberFormat="1" applyFont="1" applyFill="1" applyBorder="1" applyAlignment="1" applyProtection="1">
      <alignment horizontal="center" vertical="center" wrapText="1"/>
    </xf>
    <xf numFmtId="0" fontId="9" fillId="2" borderId="0" xfId="3" applyFont="1" applyFill="1" applyAlignment="1">
      <alignment horizontal="left"/>
    </xf>
    <xf numFmtId="0" fontId="4" fillId="2" borderId="0" xfId="3" applyFont="1" applyFill="1" applyAlignment="1">
      <alignment horizontal="left"/>
    </xf>
    <xf numFmtId="0" fontId="15" fillId="2" borderId="0" xfId="3" applyFont="1" applyFill="1" applyAlignment="1">
      <alignment horizontal="center"/>
    </xf>
    <xf numFmtId="0" fontId="49" fillId="2" borderId="0" xfId="3" applyFont="1" applyFill="1" applyAlignment="1">
      <alignment horizontal="center" vertical="center"/>
    </xf>
    <xf numFmtId="0" fontId="17" fillId="0" borderId="1" xfId="0" applyFont="1" applyFill="1" applyBorder="1" applyAlignment="1" applyProtection="1">
      <alignment horizontal="center" vertical="center" textRotation="90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6" fillId="0" borderId="15" xfId="0" applyFont="1" applyFill="1" applyBorder="1" applyAlignment="1" applyProtection="1">
      <alignment horizontal="center" vertical="center" wrapText="1"/>
    </xf>
    <xf numFmtId="0" fontId="16" fillId="0" borderId="27" xfId="0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7" fillId="0" borderId="16" xfId="0" applyFont="1" applyFill="1" applyBorder="1" applyAlignment="1" applyProtection="1">
      <alignment horizontal="center" vertical="center" textRotation="90" wrapText="1"/>
    </xf>
    <xf numFmtId="0" fontId="17" fillId="0" borderId="3" xfId="0" applyFont="1" applyFill="1" applyBorder="1" applyAlignment="1" applyProtection="1">
      <alignment horizontal="center" vertical="center" textRotation="90" wrapText="1"/>
    </xf>
    <xf numFmtId="3" fontId="17" fillId="0" borderId="1" xfId="0" applyNumberFormat="1" applyFont="1" applyFill="1" applyBorder="1" applyAlignment="1" applyProtection="1">
      <alignment horizontal="center" vertical="center" wrapText="1"/>
    </xf>
    <xf numFmtId="3" fontId="17" fillId="0" borderId="28" xfId="0" applyNumberFormat="1" applyFont="1" applyFill="1" applyBorder="1" applyAlignment="1" applyProtection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</xf>
    <xf numFmtId="0" fontId="16" fillId="2" borderId="1" xfId="3" applyFont="1" applyFill="1" applyBorder="1" applyAlignment="1" applyProtection="1">
      <alignment horizontal="center" vertical="center" wrapText="1"/>
    </xf>
    <xf numFmtId="0" fontId="16" fillId="0" borderId="1" xfId="3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textRotation="90" wrapText="1"/>
    </xf>
    <xf numFmtId="0" fontId="16" fillId="0" borderId="1" xfId="3" applyFont="1" applyBorder="1" applyAlignment="1" applyProtection="1">
      <alignment horizontal="center" vertical="center" wrapText="1"/>
    </xf>
    <xf numFmtId="0" fontId="16" fillId="2" borderId="1" xfId="9" applyFont="1" applyFill="1" applyBorder="1" applyAlignment="1" applyProtection="1">
      <alignment horizontal="center" vertical="center" wrapText="1"/>
    </xf>
    <xf numFmtId="0" fontId="1" fillId="0" borderId="0" xfId="13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</cellXfs>
  <cellStyles count="15">
    <cellStyle name="ContentsHyperlink" xfId="1"/>
    <cellStyle name="Hyperlink" xfId="2" builtinId="8"/>
    <cellStyle name="Normal" xfId="0" builtinId="0"/>
    <cellStyle name="Normal 2" xfId="3"/>
    <cellStyle name="Normal 2 2" xfId="4"/>
    <cellStyle name="Normal 3" xfId="5"/>
    <cellStyle name="Normal 3 2" xfId="6"/>
    <cellStyle name="Normal 4" xfId="7"/>
    <cellStyle name="Normal_BOLNICE" xfId="14"/>
    <cellStyle name="Normal_normativ kadra _ tabel_1" xfId="8"/>
    <cellStyle name="Normal_TAB DZ 1-10 (1)" xfId="9"/>
    <cellStyle name="Normal_TAB DZ 1-10 (1) 2" xfId="10"/>
    <cellStyle name="Student Information" xfId="11"/>
    <cellStyle name="Student Information - user entered" xfId="12"/>
    <cellStyle name="Total" xfId="13" builtinId="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CCFFFF"/>
      <color rgb="FFADD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104775</xdr:rowOff>
    </xdr:from>
    <xdr:to>
      <xdr:col>1</xdr:col>
      <xdr:colOff>714375</xdr:colOff>
      <xdr:row>4</xdr:row>
      <xdr:rowOff>85725</xdr:rowOff>
    </xdr:to>
    <xdr:pic>
      <xdr:nvPicPr>
        <xdr:cNvPr id="646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609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J34"/>
  <sheetViews>
    <sheetView view="pageBreakPreview" zoomScale="60" zoomScaleNormal="100" workbookViewId="0">
      <selection activeCell="G12" sqref="G12"/>
    </sheetView>
  </sheetViews>
  <sheetFormatPr defaultRowHeight="12.75"/>
  <cols>
    <col min="1" max="1" width="5" style="1" customWidth="1"/>
    <col min="2" max="2" width="12.28515625" style="1" customWidth="1"/>
    <col min="3" max="16384" width="9.140625" style="1"/>
  </cols>
  <sheetData>
    <row r="2" spans="1:10" ht="14.25">
      <c r="C2" s="287" t="s">
        <v>1</v>
      </c>
      <c r="D2" s="287"/>
      <c r="E2" s="287"/>
      <c r="F2" s="287"/>
      <c r="G2" s="287"/>
      <c r="H2" s="287"/>
      <c r="I2" s="287"/>
    </row>
    <row r="3" spans="1:10" ht="15.75">
      <c r="C3" s="288" t="s">
        <v>2</v>
      </c>
      <c r="D3" s="288"/>
      <c r="E3" s="288"/>
      <c r="F3" s="288"/>
      <c r="G3" s="288"/>
      <c r="H3" s="288"/>
      <c r="I3" s="288"/>
    </row>
    <row r="6" spans="1:10" ht="18.75">
      <c r="B6" s="289" t="s">
        <v>3</v>
      </c>
      <c r="C6" s="289"/>
      <c r="D6" s="289"/>
      <c r="E6" s="289"/>
      <c r="F6" s="289"/>
      <c r="G6" s="289"/>
      <c r="H6" s="289"/>
      <c r="I6" s="289"/>
      <c r="J6" s="289"/>
    </row>
    <row r="7" spans="1:10" ht="43.5" customHeight="1">
      <c r="B7" s="290" t="s">
        <v>188</v>
      </c>
      <c r="C7" s="290"/>
      <c r="D7" s="290"/>
      <c r="E7" s="290"/>
      <c r="F7" s="290"/>
      <c r="G7" s="290"/>
      <c r="H7" s="290"/>
      <c r="I7" s="290"/>
      <c r="J7" s="290"/>
    </row>
    <row r="8" spans="1:10" ht="18.75">
      <c r="B8" s="289" t="s">
        <v>118</v>
      </c>
      <c r="C8" s="289"/>
      <c r="D8" s="289"/>
      <c r="E8" s="289"/>
      <c r="F8" s="289"/>
      <c r="G8" s="289"/>
      <c r="H8" s="289"/>
      <c r="I8" s="289"/>
      <c r="J8" s="289"/>
    </row>
    <row r="9" spans="1:10" ht="18.75">
      <c r="B9" s="289"/>
      <c r="C9" s="289"/>
      <c r="D9" s="289"/>
      <c r="E9" s="289"/>
      <c r="F9" s="289"/>
      <c r="G9" s="289"/>
      <c r="H9" s="289"/>
      <c r="I9" s="289"/>
      <c r="J9" s="289"/>
    </row>
    <row r="10" spans="1:10" ht="15">
      <c r="A10" s="97"/>
      <c r="B10" s="97"/>
      <c r="C10" s="97" t="s">
        <v>44</v>
      </c>
      <c r="D10" s="97"/>
      <c r="E10" s="2"/>
      <c r="F10" s="2"/>
      <c r="G10" s="2"/>
      <c r="H10" s="2"/>
      <c r="I10" s="2"/>
    </row>
    <row r="11" spans="1:10" ht="15">
      <c r="A11" s="94" t="s">
        <v>145</v>
      </c>
      <c r="B11" s="94" t="s">
        <v>146</v>
      </c>
      <c r="C11" s="94"/>
      <c r="D11" s="94"/>
      <c r="E11" s="95"/>
      <c r="F11" s="95"/>
      <c r="G11" s="95"/>
      <c r="H11" s="95"/>
      <c r="I11" s="95"/>
    </row>
    <row r="12" spans="1:10" ht="15">
      <c r="A12" s="97" t="s">
        <v>124</v>
      </c>
      <c r="B12" s="98" t="s">
        <v>109</v>
      </c>
      <c r="C12" s="98"/>
      <c r="D12" s="98"/>
      <c r="E12" s="87"/>
      <c r="F12" s="87"/>
      <c r="G12" s="87"/>
      <c r="H12" s="87"/>
      <c r="I12" s="87"/>
      <c r="J12" s="66"/>
    </row>
    <row r="13" spans="1:10" ht="15">
      <c r="A13" s="97" t="s">
        <v>125</v>
      </c>
      <c r="B13" s="98" t="s">
        <v>110</v>
      </c>
      <c r="C13" s="98"/>
      <c r="D13" s="98"/>
      <c r="E13" s="87"/>
      <c r="F13" s="87"/>
      <c r="G13" s="87"/>
      <c r="H13" s="87"/>
      <c r="I13" s="87"/>
      <c r="J13" s="66"/>
    </row>
    <row r="14" spans="1:10" ht="15">
      <c r="A14" s="97" t="s">
        <v>126</v>
      </c>
      <c r="B14" s="98" t="s">
        <v>111</v>
      </c>
      <c r="C14" s="98"/>
      <c r="D14" s="98"/>
      <c r="E14" s="87"/>
      <c r="F14" s="87"/>
      <c r="G14" s="87"/>
      <c r="H14" s="87"/>
      <c r="I14" s="87"/>
      <c r="J14" s="66"/>
    </row>
    <row r="15" spans="1:10" ht="15">
      <c r="A15" s="97" t="s">
        <v>127</v>
      </c>
      <c r="B15" s="98" t="s">
        <v>112</v>
      </c>
      <c r="C15" s="98"/>
      <c r="D15" s="98"/>
      <c r="E15" s="87"/>
      <c r="F15" s="87"/>
      <c r="G15" s="87"/>
      <c r="H15" s="87"/>
      <c r="I15" s="87"/>
      <c r="J15" s="66"/>
    </row>
    <row r="16" spans="1:10" ht="15">
      <c r="A16" s="97" t="s">
        <v>128</v>
      </c>
      <c r="B16" s="98" t="s">
        <v>95</v>
      </c>
      <c r="C16" s="98"/>
      <c r="D16" s="98"/>
      <c r="E16" s="87"/>
      <c r="F16" s="87"/>
      <c r="G16" s="87"/>
      <c r="H16" s="87"/>
      <c r="I16" s="87"/>
      <c r="J16" s="66"/>
    </row>
    <row r="17" spans="1:10" ht="15.75" customHeight="1">
      <c r="A17" s="97" t="s">
        <v>129</v>
      </c>
      <c r="B17" s="98" t="s">
        <v>97</v>
      </c>
      <c r="C17" s="98"/>
      <c r="D17" s="98"/>
      <c r="E17" s="87"/>
      <c r="F17" s="87"/>
      <c r="G17" s="87"/>
      <c r="H17" s="87"/>
      <c r="I17" s="87"/>
      <c r="J17" s="66"/>
    </row>
    <row r="18" spans="1:10" ht="15.75" customHeight="1">
      <c r="A18" s="97" t="s">
        <v>130</v>
      </c>
      <c r="B18" s="98" t="s">
        <v>98</v>
      </c>
      <c r="C18" s="98"/>
      <c r="D18" s="98"/>
      <c r="E18" s="87"/>
      <c r="F18" s="87"/>
      <c r="G18" s="87"/>
      <c r="H18" s="87"/>
      <c r="I18" s="87"/>
      <c r="J18" s="66"/>
    </row>
    <row r="19" spans="1:10" ht="15">
      <c r="A19" s="97" t="s">
        <v>46</v>
      </c>
      <c r="B19" s="98" t="s">
        <v>106</v>
      </c>
      <c r="C19" s="98"/>
      <c r="D19" s="98"/>
      <c r="E19" s="87"/>
      <c r="F19" s="87"/>
      <c r="G19" s="87"/>
      <c r="H19" s="87"/>
      <c r="I19" s="87"/>
      <c r="J19" s="66"/>
    </row>
    <row r="20" spans="1:10" ht="15">
      <c r="A20" s="97" t="s">
        <v>131</v>
      </c>
      <c r="B20" s="98" t="s">
        <v>99</v>
      </c>
      <c r="C20" s="98"/>
      <c r="D20" s="98"/>
      <c r="E20" s="87"/>
      <c r="F20" s="87"/>
      <c r="G20" s="87"/>
      <c r="H20" s="87"/>
      <c r="I20" s="87"/>
      <c r="J20" s="66"/>
    </row>
    <row r="21" spans="1:10" ht="15">
      <c r="A21" s="97" t="s">
        <v>132</v>
      </c>
      <c r="B21" s="99" t="s">
        <v>123</v>
      </c>
      <c r="C21" s="99"/>
      <c r="D21" s="99"/>
      <c r="E21" s="100"/>
      <c r="F21" s="100"/>
      <c r="G21" s="100"/>
      <c r="H21" s="87"/>
      <c r="I21" s="87"/>
      <c r="J21" s="66"/>
    </row>
    <row r="22" spans="1:10" ht="15">
      <c r="A22" s="97" t="s">
        <v>133</v>
      </c>
      <c r="B22" s="101" t="s">
        <v>100</v>
      </c>
      <c r="C22" s="98"/>
      <c r="D22" s="98"/>
      <c r="E22" s="87"/>
      <c r="F22" s="87"/>
      <c r="G22" s="87"/>
      <c r="H22" s="87"/>
      <c r="I22" s="87"/>
      <c r="J22" s="66"/>
    </row>
    <row r="23" spans="1:10" ht="15">
      <c r="A23" s="97" t="s">
        <v>134</v>
      </c>
      <c r="B23" s="101" t="s">
        <v>117</v>
      </c>
      <c r="C23" s="98"/>
      <c r="D23" s="98"/>
      <c r="E23" s="87"/>
      <c r="F23" s="87"/>
      <c r="G23" s="87"/>
      <c r="H23" s="87"/>
      <c r="I23" s="87"/>
      <c r="J23" s="66"/>
    </row>
    <row r="24" spans="1:10" ht="15">
      <c r="A24" s="97" t="s">
        <v>135</v>
      </c>
      <c r="B24" s="99" t="s">
        <v>119</v>
      </c>
      <c r="C24" s="99"/>
      <c r="D24" s="99"/>
      <c r="E24" s="100"/>
      <c r="F24" s="100"/>
      <c r="G24" s="100"/>
      <c r="H24" s="87"/>
      <c r="I24" s="87"/>
      <c r="J24" s="66"/>
    </row>
    <row r="25" spans="1:10" ht="15">
      <c r="A25" s="97" t="s">
        <v>136</v>
      </c>
      <c r="B25" s="99" t="s">
        <v>120</v>
      </c>
      <c r="C25" s="99"/>
      <c r="D25" s="99"/>
      <c r="E25" s="100"/>
      <c r="F25" s="100"/>
      <c r="G25" s="100"/>
      <c r="H25" s="87"/>
      <c r="I25" s="87"/>
      <c r="J25" s="66"/>
    </row>
    <row r="26" spans="1:10" ht="15">
      <c r="A26" s="97" t="s">
        <v>137</v>
      </c>
      <c r="B26" s="99" t="s">
        <v>121</v>
      </c>
      <c r="C26" s="99"/>
      <c r="D26" s="99"/>
      <c r="E26" s="100"/>
      <c r="F26" s="100"/>
      <c r="G26" s="100"/>
      <c r="H26" s="87"/>
      <c r="I26" s="87"/>
      <c r="J26" s="66"/>
    </row>
    <row r="27" spans="1:10" ht="15">
      <c r="A27" s="97" t="s">
        <v>138</v>
      </c>
      <c r="B27" s="98" t="s">
        <v>61</v>
      </c>
      <c r="C27" s="98"/>
      <c r="D27" s="98"/>
      <c r="E27" s="87"/>
      <c r="F27" s="87"/>
      <c r="G27" s="87"/>
      <c r="H27" s="87"/>
      <c r="I27" s="87"/>
      <c r="J27" s="66"/>
    </row>
    <row r="28" spans="1:10" ht="15">
      <c r="A28" s="97" t="s">
        <v>139</v>
      </c>
      <c r="B28" s="102" t="s">
        <v>101</v>
      </c>
      <c r="C28" s="102"/>
      <c r="D28" s="102"/>
      <c r="E28" s="103"/>
      <c r="F28" s="103"/>
      <c r="G28" s="103"/>
      <c r="H28" s="87"/>
      <c r="I28" s="87"/>
      <c r="J28" s="66"/>
    </row>
    <row r="29" spans="1:10" ht="15">
      <c r="A29" s="97" t="s">
        <v>140</v>
      </c>
      <c r="B29" s="104" t="s">
        <v>122</v>
      </c>
      <c r="C29" s="104"/>
      <c r="D29" s="104"/>
      <c r="E29" s="105"/>
      <c r="F29" s="105"/>
      <c r="G29" s="105"/>
      <c r="H29" s="87"/>
      <c r="I29" s="87"/>
      <c r="J29" s="66"/>
    </row>
    <row r="30" spans="1:10" ht="15">
      <c r="A30" s="97" t="s">
        <v>141</v>
      </c>
      <c r="B30" s="98" t="s">
        <v>102</v>
      </c>
      <c r="C30" s="98"/>
      <c r="D30" s="98"/>
      <c r="E30" s="87"/>
      <c r="F30" s="87"/>
      <c r="G30" s="87"/>
      <c r="H30" s="87"/>
      <c r="I30" s="87"/>
      <c r="J30" s="66"/>
    </row>
    <row r="31" spans="1:10" ht="15">
      <c r="A31" s="97" t="s">
        <v>142</v>
      </c>
      <c r="B31" s="98" t="s">
        <v>103</v>
      </c>
      <c r="C31" s="98"/>
      <c r="D31" s="98"/>
      <c r="E31" s="87"/>
      <c r="F31" s="87"/>
      <c r="G31" s="87"/>
      <c r="H31" s="87"/>
      <c r="I31" s="87"/>
      <c r="J31" s="66"/>
    </row>
    <row r="32" spans="1:10" ht="15">
      <c r="A32" s="97" t="s">
        <v>143</v>
      </c>
      <c r="B32" s="98" t="s">
        <v>104</v>
      </c>
      <c r="C32" s="98"/>
      <c r="D32" s="98"/>
      <c r="E32" s="87"/>
      <c r="F32" s="87"/>
      <c r="G32" s="87"/>
      <c r="H32" s="87"/>
      <c r="I32" s="87"/>
      <c r="J32" s="66"/>
    </row>
    <row r="33" spans="1:10" ht="15">
      <c r="A33" s="97" t="s">
        <v>144</v>
      </c>
      <c r="B33" s="98" t="s">
        <v>105</v>
      </c>
      <c r="C33" s="98"/>
      <c r="D33" s="98"/>
      <c r="E33" s="87"/>
      <c r="F33" s="87"/>
      <c r="G33" s="87"/>
      <c r="H33" s="87"/>
      <c r="I33" s="87"/>
      <c r="J33" s="66"/>
    </row>
    <row r="34" spans="1:10" ht="14.25">
      <c r="B34" s="96"/>
      <c r="C34" s="93"/>
      <c r="D34" s="93"/>
      <c r="E34" s="93"/>
      <c r="F34" s="93"/>
      <c r="G34" s="93"/>
      <c r="H34" s="93"/>
      <c r="I34" s="93"/>
      <c r="J34" s="66"/>
    </row>
  </sheetData>
  <mergeCells count="6">
    <mergeCell ref="C2:I2"/>
    <mergeCell ref="C3:I3"/>
    <mergeCell ref="B9:J9"/>
    <mergeCell ref="B6:J6"/>
    <mergeCell ref="B7:J7"/>
    <mergeCell ref="B8:J8"/>
  </mergeCells>
  <phoneticPr fontId="8" type="noConversion"/>
  <pageMargins left="0.75" right="0.75" top="1" bottom="1" header="0.5" footer="0.5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F50"/>
  <sheetViews>
    <sheetView tabSelected="1" zoomScaleNormal="100" zoomScaleSheetLayoutView="100" workbookViewId="0">
      <selection activeCell="V12" sqref="V12"/>
    </sheetView>
  </sheetViews>
  <sheetFormatPr defaultRowHeight="15.75"/>
  <cols>
    <col min="1" max="1" width="21.42578125" style="3" customWidth="1"/>
    <col min="2" max="2" width="6.7109375" style="3" customWidth="1"/>
    <col min="3" max="3" width="7.7109375" style="3" customWidth="1"/>
    <col min="4" max="4" width="6.5703125" style="3" customWidth="1"/>
    <col min="5" max="6" width="4" style="3" customWidth="1"/>
    <col min="7" max="7" width="2.85546875" style="3" customWidth="1"/>
    <col min="8" max="11" width="4" style="3" customWidth="1"/>
    <col min="12" max="14" width="4" style="5" customWidth="1"/>
    <col min="15" max="15" width="2.28515625" style="19" customWidth="1"/>
    <col min="16" max="16" width="4.5703125" style="3" customWidth="1"/>
    <col min="17" max="17" width="6.5703125" style="3" customWidth="1"/>
    <col min="18" max="19" width="4" style="5" customWidth="1"/>
    <col min="20" max="20" width="4" style="19" customWidth="1"/>
    <col min="21" max="22" width="4" style="3" customWidth="1"/>
    <col min="23" max="23" width="3.42578125" style="6" customWidth="1"/>
    <col min="24" max="24" width="5.140625" style="3" customWidth="1"/>
    <col min="25" max="25" width="6" style="3" customWidth="1"/>
    <col min="26" max="26" width="3.140625" style="3" customWidth="1"/>
    <col min="27" max="27" width="4" style="3" customWidth="1"/>
    <col min="28" max="28" width="3.140625" style="3" customWidth="1"/>
    <col min="29" max="30" width="4" style="3" customWidth="1"/>
    <col min="31" max="31" width="2.85546875" style="3" customWidth="1"/>
    <col min="32" max="32" width="3.140625" style="3" customWidth="1"/>
    <col min="33" max="16384" width="9.140625" style="3"/>
  </cols>
  <sheetData>
    <row r="1" spans="1:32" ht="15.75" customHeight="1">
      <c r="A1" s="59"/>
      <c r="B1" s="60" t="s">
        <v>70</v>
      </c>
      <c r="C1" s="88" t="s">
        <v>191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90"/>
    </row>
    <row r="2" spans="1:32" ht="15.75" customHeight="1">
      <c r="A2" s="59"/>
      <c r="B2" s="60" t="s">
        <v>71</v>
      </c>
      <c r="C2" s="88" t="s">
        <v>190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90"/>
    </row>
    <row r="3" spans="1:32">
      <c r="A3" s="59"/>
      <c r="B3" s="60" t="s">
        <v>72</v>
      </c>
      <c r="C3" s="88" t="s">
        <v>192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</row>
    <row r="4" spans="1:32">
      <c r="A4" s="59"/>
      <c r="B4" s="60" t="s">
        <v>147</v>
      </c>
      <c r="C4" s="62" t="s">
        <v>109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4"/>
      <c r="AD4" s="3" t="s">
        <v>152</v>
      </c>
    </row>
    <row r="5" spans="1:32" ht="12.75" customHeight="1" thickBot="1">
      <c r="A5" s="37"/>
      <c r="C5" s="36"/>
      <c r="D5" s="16"/>
      <c r="E5" s="16"/>
      <c r="F5" s="16"/>
      <c r="G5" s="16"/>
      <c r="H5" s="16"/>
      <c r="I5" s="16"/>
      <c r="J5" s="16"/>
    </row>
    <row r="6" spans="1:32" s="34" customFormat="1" ht="34.5" customHeight="1">
      <c r="A6" s="293" t="s">
        <v>34</v>
      </c>
      <c r="B6" s="297" t="s">
        <v>196</v>
      </c>
      <c r="C6" s="297" t="s">
        <v>197</v>
      </c>
      <c r="D6" s="297" t="s">
        <v>198</v>
      </c>
      <c r="E6" s="301" t="s">
        <v>35</v>
      </c>
      <c r="F6" s="301"/>
      <c r="G6" s="301"/>
      <c r="H6" s="302"/>
      <c r="I6" s="295" t="s">
        <v>80</v>
      </c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2" t="s">
        <v>77</v>
      </c>
      <c r="AE6" s="292"/>
      <c r="AF6" s="292"/>
    </row>
    <row r="7" spans="1:32" s="16" customFormat="1" ht="47.25" customHeight="1">
      <c r="A7" s="294"/>
      <c r="B7" s="291"/>
      <c r="C7" s="291"/>
      <c r="D7" s="291"/>
      <c r="E7" s="291" t="s">
        <v>47</v>
      </c>
      <c r="F7" s="291" t="s">
        <v>4</v>
      </c>
      <c r="G7" s="291" t="s">
        <v>5</v>
      </c>
      <c r="H7" s="300" t="s">
        <v>0</v>
      </c>
      <c r="I7" s="298" t="s">
        <v>86</v>
      </c>
      <c r="J7" s="291" t="s">
        <v>73</v>
      </c>
      <c r="K7" s="291" t="s">
        <v>74</v>
      </c>
      <c r="L7" s="299" t="s">
        <v>48</v>
      </c>
      <c r="M7" s="299"/>
      <c r="N7" s="299"/>
      <c r="O7" s="299"/>
      <c r="P7" s="299"/>
      <c r="Q7" s="291" t="s">
        <v>49</v>
      </c>
      <c r="R7" s="291" t="s">
        <v>75</v>
      </c>
      <c r="S7" s="292" t="s">
        <v>50</v>
      </c>
      <c r="T7" s="292"/>
      <c r="U7" s="292"/>
      <c r="V7" s="292"/>
      <c r="W7" s="292"/>
      <c r="X7" s="292"/>
      <c r="Y7" s="291" t="s">
        <v>51</v>
      </c>
      <c r="Z7" s="291" t="s">
        <v>63</v>
      </c>
      <c r="AA7" s="291" t="s">
        <v>52</v>
      </c>
      <c r="AB7" s="291" t="s">
        <v>36</v>
      </c>
      <c r="AC7" s="291" t="s">
        <v>53</v>
      </c>
      <c r="AD7" s="292"/>
      <c r="AE7" s="292"/>
      <c r="AF7" s="292"/>
    </row>
    <row r="8" spans="1:32" s="16" customFormat="1" ht="87" customHeight="1">
      <c r="A8" s="294"/>
      <c r="B8" s="291"/>
      <c r="C8" s="291"/>
      <c r="D8" s="291"/>
      <c r="E8" s="291"/>
      <c r="F8" s="291"/>
      <c r="G8" s="291"/>
      <c r="H8" s="300"/>
      <c r="I8" s="298"/>
      <c r="J8" s="291"/>
      <c r="K8" s="291"/>
      <c r="L8" s="84" t="s">
        <v>47</v>
      </c>
      <c r="M8" s="84" t="s">
        <v>4</v>
      </c>
      <c r="N8" s="84" t="s">
        <v>5</v>
      </c>
      <c r="O8" s="84" t="s">
        <v>36</v>
      </c>
      <c r="P8" s="85" t="s">
        <v>87</v>
      </c>
      <c r="Q8" s="291"/>
      <c r="R8" s="291"/>
      <c r="S8" s="84" t="s">
        <v>6</v>
      </c>
      <c r="T8" s="84" t="s">
        <v>4</v>
      </c>
      <c r="U8" s="84" t="s">
        <v>54</v>
      </c>
      <c r="V8" s="85" t="s">
        <v>55</v>
      </c>
      <c r="W8" s="85" t="s">
        <v>56</v>
      </c>
      <c r="X8" s="85" t="s">
        <v>76</v>
      </c>
      <c r="Y8" s="291"/>
      <c r="Z8" s="291"/>
      <c r="AA8" s="291"/>
      <c r="AB8" s="291"/>
      <c r="AC8" s="291"/>
      <c r="AD8" s="84" t="s">
        <v>7</v>
      </c>
      <c r="AE8" s="84" t="s">
        <v>8</v>
      </c>
      <c r="AF8" s="84" t="s">
        <v>9</v>
      </c>
    </row>
    <row r="9" spans="1:32" s="20" customFormat="1">
      <c r="A9" s="233" t="s">
        <v>157</v>
      </c>
      <c r="B9" s="47"/>
      <c r="C9" s="47"/>
      <c r="D9" s="219"/>
      <c r="E9" s="222"/>
      <c r="F9" s="122"/>
      <c r="G9" s="223"/>
      <c r="H9" s="234">
        <f>SUM(E9:G9)</f>
        <v>0</v>
      </c>
      <c r="I9" s="231">
        <v>1</v>
      </c>
      <c r="J9" s="107">
        <v>0</v>
      </c>
      <c r="K9" s="107">
        <v>1</v>
      </c>
      <c r="L9" s="108"/>
      <c r="M9" s="108"/>
      <c r="N9" s="109"/>
      <c r="O9" s="109"/>
      <c r="P9" s="110">
        <f>SUM(L9:O9)</f>
        <v>0</v>
      </c>
      <c r="Q9" s="111">
        <f>I9-P9</f>
        <v>1</v>
      </c>
      <c r="R9" s="180">
        <v>1</v>
      </c>
      <c r="S9" s="112"/>
      <c r="T9" s="108"/>
      <c r="U9" s="108"/>
      <c r="V9" s="108"/>
      <c r="W9" s="108"/>
      <c r="X9" s="110">
        <f>SUM(S9:W9)</f>
        <v>0</v>
      </c>
      <c r="Y9" s="111">
        <f>R9-X9</f>
        <v>1</v>
      </c>
      <c r="Z9" s="107"/>
      <c r="AA9" s="113"/>
      <c r="AB9" s="113"/>
      <c r="AC9" s="114">
        <f t="shared" ref="AC9:AC39" si="0">Z9-(AA9+AB9)</f>
        <v>0</v>
      </c>
      <c r="AD9" s="107"/>
      <c r="AE9" s="107"/>
      <c r="AF9" s="107"/>
    </row>
    <row r="10" spans="1:32" s="20" customFormat="1">
      <c r="A10" s="233" t="s">
        <v>158</v>
      </c>
      <c r="B10" s="47">
        <v>603</v>
      </c>
      <c r="C10" s="47">
        <v>4276</v>
      </c>
      <c r="D10" s="219">
        <f>C10/H10/3.65</f>
        <v>33.471624266144815</v>
      </c>
      <c r="E10" s="222">
        <v>30</v>
      </c>
      <c r="F10" s="222">
        <v>5</v>
      </c>
      <c r="G10" s="222"/>
      <c r="H10" s="234">
        <f t="shared" ref="H10:H34" si="1">SUM(E10:G10)</f>
        <v>35</v>
      </c>
      <c r="I10" s="231">
        <v>11</v>
      </c>
      <c r="J10" s="115">
        <v>1</v>
      </c>
      <c r="K10" s="107">
        <v>9</v>
      </c>
      <c r="L10" s="108">
        <f>ROUND(E10*0.18+0.25*E10*0.18+9607/2940, 0)</f>
        <v>10</v>
      </c>
      <c r="M10" s="108">
        <f>ROUND(F10*0.4+0.25*F10*0.4, 0)</f>
        <v>3</v>
      </c>
      <c r="N10" s="109"/>
      <c r="O10" s="109"/>
      <c r="P10" s="116">
        <f t="shared" ref="P10:P39" si="2">SUM(L10:O10)</f>
        <v>13</v>
      </c>
      <c r="Q10" s="117">
        <f t="shared" ref="Q10:Q38" si="3">I10-P10</f>
        <v>-2</v>
      </c>
      <c r="R10" s="180">
        <v>32</v>
      </c>
      <c r="S10" s="118">
        <f>ROUND(E10*0.5+0.25*E10*0.5, 0)</f>
        <v>19</v>
      </c>
      <c r="T10" s="119">
        <f>ROUND(F10*2+0.25*F10*2, 0)</f>
        <v>13</v>
      </c>
      <c r="U10" s="108"/>
      <c r="V10" s="120">
        <f>ROUND(E10*0.08+0.25*E10*0.08, 0)</f>
        <v>3</v>
      </c>
      <c r="W10" s="108"/>
      <c r="X10" s="116">
        <f t="shared" ref="X10:X36" si="4">SUM(S10:W10)</f>
        <v>35</v>
      </c>
      <c r="Y10" s="117">
        <f t="shared" ref="Y10:Y36" si="5">R10-X10</f>
        <v>-3</v>
      </c>
      <c r="Z10" s="107"/>
      <c r="AA10" s="113"/>
      <c r="AB10" s="113"/>
      <c r="AC10" s="114">
        <f t="shared" si="0"/>
        <v>0</v>
      </c>
      <c r="AD10" s="107"/>
      <c r="AE10" s="107"/>
      <c r="AF10" s="121"/>
    </row>
    <row r="11" spans="1:32" s="20" customFormat="1" ht="24">
      <c r="A11" s="235" t="s">
        <v>159</v>
      </c>
      <c r="B11" s="47"/>
      <c r="C11" s="47"/>
      <c r="D11" s="219">
        <f t="shared" ref="D11:D38" si="6">C11/H11/3.65</f>
        <v>0</v>
      </c>
      <c r="E11" s="122"/>
      <c r="F11" s="122">
        <v>9</v>
      </c>
      <c r="G11" s="122"/>
      <c r="H11" s="236">
        <f t="shared" si="1"/>
        <v>9</v>
      </c>
      <c r="I11" s="231">
        <v>3</v>
      </c>
      <c r="J11" s="115">
        <v>1</v>
      </c>
      <c r="K11" s="107">
        <v>2</v>
      </c>
      <c r="L11" s="108"/>
      <c r="M11" s="108">
        <f>ROUND(F11*0.4+0.25*F11*0.4, 0)</f>
        <v>5</v>
      </c>
      <c r="N11" s="109"/>
      <c r="O11" s="109"/>
      <c r="P11" s="116">
        <f t="shared" si="2"/>
        <v>5</v>
      </c>
      <c r="Q11" s="117">
        <f t="shared" si="3"/>
        <v>-2</v>
      </c>
      <c r="R11" s="180">
        <v>20</v>
      </c>
      <c r="S11" s="118">
        <f>E11*0.5+0.25*E11*0.5</f>
        <v>0</v>
      </c>
      <c r="T11" s="119">
        <f>ROUND(F11*2+0.25*F11*2, 0)</f>
        <v>23</v>
      </c>
      <c r="U11" s="108"/>
      <c r="V11" s="120"/>
      <c r="W11" s="108"/>
      <c r="X11" s="116">
        <f t="shared" si="4"/>
        <v>23</v>
      </c>
      <c r="Y11" s="117">
        <f t="shared" si="5"/>
        <v>-3</v>
      </c>
      <c r="Z11" s="107"/>
      <c r="AA11" s="113"/>
      <c r="AB11" s="113"/>
      <c r="AC11" s="114">
        <f t="shared" si="0"/>
        <v>0</v>
      </c>
      <c r="AD11" s="107"/>
      <c r="AE11" s="107"/>
      <c r="AF11" s="121"/>
    </row>
    <row r="12" spans="1:32" s="20" customFormat="1" ht="24">
      <c r="A12" s="233" t="s">
        <v>160</v>
      </c>
      <c r="B12" s="47">
        <v>1812</v>
      </c>
      <c r="C12" s="47">
        <v>9051</v>
      </c>
      <c r="D12" s="219">
        <f t="shared" si="6"/>
        <v>61.993150684931507</v>
      </c>
      <c r="E12" s="122">
        <f>56-20</f>
        <v>36</v>
      </c>
      <c r="F12" s="122">
        <v>4</v>
      </c>
      <c r="G12" s="122"/>
      <c r="H12" s="236">
        <f t="shared" si="1"/>
        <v>40</v>
      </c>
      <c r="I12" s="231">
        <v>8</v>
      </c>
      <c r="J12" s="115">
        <v>4</v>
      </c>
      <c r="K12" s="107">
        <v>4</v>
      </c>
      <c r="L12" s="108">
        <f>ROUND(E12*0.18+0.25*E12*0.18, 0)</f>
        <v>8</v>
      </c>
      <c r="M12" s="108">
        <f>ROUND(F12*0.4+0.25*F12*0.4, 0)</f>
        <v>2</v>
      </c>
      <c r="N12" s="109"/>
      <c r="O12" s="109"/>
      <c r="P12" s="116">
        <f t="shared" si="2"/>
        <v>10</v>
      </c>
      <c r="Q12" s="117">
        <f t="shared" si="3"/>
        <v>-2</v>
      </c>
      <c r="R12" s="180">
        <v>21</v>
      </c>
      <c r="S12" s="118">
        <f t="shared" ref="S12:S21" si="7">ROUND(E12*0.5+0.25*E12*0.5, 0)</f>
        <v>23</v>
      </c>
      <c r="T12" s="119">
        <f>ROUND(F12*2+0.25*F12*2, 0)</f>
        <v>10</v>
      </c>
      <c r="U12" s="108"/>
      <c r="V12" s="120">
        <f t="shared" ref="V12:V21" si="8">ROUND(E12*0.08+0.25*E12*0.08, 0)</f>
        <v>4</v>
      </c>
      <c r="W12" s="108"/>
      <c r="X12" s="116">
        <f t="shared" si="4"/>
        <v>37</v>
      </c>
      <c r="Y12" s="117">
        <f t="shared" si="5"/>
        <v>-16</v>
      </c>
      <c r="Z12" s="107"/>
      <c r="AA12" s="113"/>
      <c r="AB12" s="113"/>
      <c r="AC12" s="114">
        <f t="shared" si="0"/>
        <v>0</v>
      </c>
      <c r="AD12" s="107"/>
      <c r="AE12" s="107"/>
      <c r="AF12" s="121"/>
    </row>
    <row r="13" spans="1:32" s="20" customFormat="1" ht="16.5" thickBot="1">
      <c r="A13" s="237" t="s">
        <v>161</v>
      </c>
      <c r="B13" s="227">
        <v>2771</v>
      </c>
      <c r="C13" s="227">
        <v>13185</v>
      </c>
      <c r="D13" s="220">
        <f t="shared" si="6"/>
        <v>63.374188896899788</v>
      </c>
      <c r="E13" s="123">
        <f>36+12</f>
        <v>48</v>
      </c>
      <c r="F13" s="123">
        <v>9</v>
      </c>
      <c r="G13" s="123"/>
      <c r="H13" s="238">
        <f t="shared" si="1"/>
        <v>57</v>
      </c>
      <c r="I13" s="253">
        <v>20</v>
      </c>
      <c r="J13" s="125">
        <v>3</v>
      </c>
      <c r="K13" s="124">
        <v>15</v>
      </c>
      <c r="L13" s="126">
        <f>ROUND(E13*0.18+0.25*E13*0.18+9100/2940+6, 0)</f>
        <v>20</v>
      </c>
      <c r="M13" s="126">
        <f>ROUND(F13*0.4+0.25*F13*0.4, 0)</f>
        <v>5</v>
      </c>
      <c r="N13" s="127"/>
      <c r="O13" s="127"/>
      <c r="P13" s="128">
        <f t="shared" si="2"/>
        <v>25</v>
      </c>
      <c r="Q13" s="129">
        <f t="shared" si="3"/>
        <v>-5</v>
      </c>
      <c r="R13" s="259">
        <v>46</v>
      </c>
      <c r="S13" s="130">
        <f>ROUND(E13*0.5+0.25*E13*0.5+4, 0)</f>
        <v>34</v>
      </c>
      <c r="T13" s="131">
        <f>ROUND(F13*2+0.25*F13*2, 0)</f>
        <v>23</v>
      </c>
      <c r="U13" s="126"/>
      <c r="V13" s="132">
        <f t="shared" si="8"/>
        <v>5</v>
      </c>
      <c r="W13" s="126"/>
      <c r="X13" s="128">
        <f t="shared" si="4"/>
        <v>62</v>
      </c>
      <c r="Y13" s="129">
        <f t="shared" si="5"/>
        <v>-16</v>
      </c>
      <c r="Z13" s="107"/>
      <c r="AA13" s="113"/>
      <c r="AB13" s="113"/>
      <c r="AC13" s="114">
        <f t="shared" si="0"/>
        <v>0</v>
      </c>
      <c r="AD13" s="107"/>
      <c r="AE13" s="107"/>
      <c r="AF13" s="121"/>
    </row>
    <row r="14" spans="1:32" s="20" customFormat="1" ht="24">
      <c r="A14" s="133" t="s">
        <v>162</v>
      </c>
      <c r="B14" s="228">
        <v>889</v>
      </c>
      <c r="C14" s="228">
        <v>8428</v>
      </c>
      <c r="D14" s="283">
        <f t="shared" si="6"/>
        <v>85.520040588533746</v>
      </c>
      <c r="E14" s="134">
        <f>34-7</f>
        <v>27</v>
      </c>
      <c r="F14" s="134"/>
      <c r="G14" s="134"/>
      <c r="H14" s="239">
        <f t="shared" si="1"/>
        <v>27</v>
      </c>
      <c r="I14" s="254">
        <v>9</v>
      </c>
      <c r="J14" s="135">
        <v>1</v>
      </c>
      <c r="K14" s="136">
        <v>8</v>
      </c>
      <c r="L14" s="137">
        <f>ROUND(E14*0.18+0.25*E14*0.18+2842/2100, 0)</f>
        <v>7</v>
      </c>
      <c r="M14" s="137"/>
      <c r="N14" s="138"/>
      <c r="O14" s="139"/>
      <c r="P14" s="140">
        <f t="shared" si="2"/>
        <v>7</v>
      </c>
      <c r="Q14" s="141">
        <f t="shared" si="3"/>
        <v>2</v>
      </c>
      <c r="R14" s="254">
        <v>16</v>
      </c>
      <c r="S14" s="142">
        <f t="shared" si="7"/>
        <v>17</v>
      </c>
      <c r="T14" s="143"/>
      <c r="U14" s="137"/>
      <c r="V14" s="144">
        <f t="shared" si="8"/>
        <v>3</v>
      </c>
      <c r="W14" s="137"/>
      <c r="X14" s="145">
        <f t="shared" si="4"/>
        <v>20</v>
      </c>
      <c r="Y14" s="146">
        <f t="shared" si="5"/>
        <v>-4</v>
      </c>
      <c r="Z14" s="147"/>
      <c r="AA14" s="113"/>
      <c r="AB14" s="113"/>
      <c r="AC14" s="114">
        <f t="shared" si="0"/>
        <v>0</v>
      </c>
      <c r="AD14" s="107"/>
      <c r="AE14" s="107"/>
      <c r="AF14" s="121"/>
    </row>
    <row r="15" spans="1:32" s="20" customFormat="1" ht="16.5" thickBot="1">
      <c r="A15" s="148" t="s">
        <v>163</v>
      </c>
      <c r="B15" s="229"/>
      <c r="C15" s="229"/>
      <c r="D15" s="284">
        <f t="shared" si="6"/>
        <v>0</v>
      </c>
      <c r="E15" s="149"/>
      <c r="F15" s="149">
        <v>6</v>
      </c>
      <c r="G15" s="149"/>
      <c r="H15" s="240">
        <f t="shared" si="1"/>
        <v>6</v>
      </c>
      <c r="I15" s="255">
        <v>1</v>
      </c>
      <c r="J15" s="150">
        <v>1</v>
      </c>
      <c r="K15" s="151">
        <v>0</v>
      </c>
      <c r="L15" s="152"/>
      <c r="M15" s="152">
        <f>ROUND(F15*0.4+0.25*F15*0.4, 0)</f>
        <v>3</v>
      </c>
      <c r="N15" s="153"/>
      <c r="O15" s="154"/>
      <c r="P15" s="155">
        <f t="shared" si="2"/>
        <v>3</v>
      </c>
      <c r="Q15" s="156">
        <f t="shared" si="3"/>
        <v>-2</v>
      </c>
      <c r="R15" s="255">
        <v>13</v>
      </c>
      <c r="S15" s="157"/>
      <c r="T15" s="158">
        <f>ROUND(F15*2+0.25*F15*2, 0)</f>
        <v>15</v>
      </c>
      <c r="U15" s="152"/>
      <c r="V15" s="159"/>
      <c r="W15" s="152"/>
      <c r="X15" s="155">
        <f t="shared" si="4"/>
        <v>15</v>
      </c>
      <c r="Y15" s="160">
        <f t="shared" si="5"/>
        <v>-2</v>
      </c>
      <c r="Z15" s="147"/>
      <c r="AA15" s="113"/>
      <c r="AB15" s="113"/>
      <c r="AC15" s="114">
        <f t="shared" si="0"/>
        <v>0</v>
      </c>
      <c r="AD15" s="107"/>
      <c r="AE15" s="107"/>
      <c r="AF15" s="121"/>
    </row>
    <row r="16" spans="1:32" s="20" customFormat="1">
      <c r="A16" s="241" t="s">
        <v>164</v>
      </c>
      <c r="B16" s="230">
        <v>739</v>
      </c>
      <c r="C16" s="230">
        <v>7983</v>
      </c>
      <c r="D16" s="221">
        <f t="shared" si="6"/>
        <v>56.080084299262381</v>
      </c>
      <c r="E16" s="161">
        <f>24+15</f>
        <v>39</v>
      </c>
      <c r="F16" s="161"/>
      <c r="G16" s="161"/>
      <c r="H16" s="242">
        <f t="shared" si="1"/>
        <v>39</v>
      </c>
      <c r="I16" s="256">
        <v>7</v>
      </c>
      <c r="J16" s="162"/>
      <c r="K16" s="162"/>
      <c r="L16" s="163">
        <f>ROUND(E16*0.18+0.25*E16*0.18, 0)</f>
        <v>9</v>
      </c>
      <c r="M16" s="163"/>
      <c r="N16" s="164"/>
      <c r="O16" s="164"/>
      <c r="P16" s="165">
        <f t="shared" si="2"/>
        <v>9</v>
      </c>
      <c r="Q16" s="166">
        <f t="shared" si="3"/>
        <v>-2</v>
      </c>
      <c r="R16" s="260">
        <v>12</v>
      </c>
      <c r="S16" s="167">
        <f t="shared" si="7"/>
        <v>24</v>
      </c>
      <c r="T16" s="168"/>
      <c r="U16" s="163"/>
      <c r="V16" s="169">
        <f t="shared" si="8"/>
        <v>4</v>
      </c>
      <c r="W16" s="163"/>
      <c r="X16" s="165">
        <f t="shared" si="4"/>
        <v>28</v>
      </c>
      <c r="Y16" s="166">
        <f t="shared" si="5"/>
        <v>-16</v>
      </c>
      <c r="Z16" s="107"/>
      <c r="AA16" s="113"/>
      <c r="AB16" s="113"/>
      <c r="AC16" s="114">
        <f t="shared" si="0"/>
        <v>0</v>
      </c>
      <c r="AD16" s="107"/>
      <c r="AE16" s="107"/>
      <c r="AF16" s="121"/>
    </row>
    <row r="17" spans="1:32" s="20" customFormat="1">
      <c r="A17" s="243" t="s">
        <v>165</v>
      </c>
      <c r="B17" s="47"/>
      <c r="C17" s="47"/>
      <c r="D17" s="219" t="e">
        <f t="shared" si="6"/>
        <v>#DIV/0!</v>
      </c>
      <c r="E17" s="122"/>
      <c r="F17" s="122"/>
      <c r="G17" s="122"/>
      <c r="H17" s="236">
        <f t="shared" si="1"/>
        <v>0</v>
      </c>
      <c r="I17" s="231"/>
      <c r="J17" s="107"/>
      <c r="K17" s="107"/>
      <c r="L17" s="108"/>
      <c r="M17" s="108"/>
      <c r="N17" s="109"/>
      <c r="O17" s="109"/>
      <c r="P17" s="116">
        <f t="shared" si="2"/>
        <v>0</v>
      </c>
      <c r="Q17" s="117">
        <f t="shared" si="3"/>
        <v>0</v>
      </c>
      <c r="R17" s="180"/>
      <c r="S17" s="170">
        <f>H17*0.43+0.25*H17*0.43</f>
        <v>0</v>
      </c>
      <c r="T17" s="171"/>
      <c r="U17" s="108"/>
      <c r="V17" s="172">
        <f>ROUND(E17*0.07+0.25*E17*0.07, 0)</f>
        <v>0</v>
      </c>
      <c r="W17" s="108"/>
      <c r="X17" s="116">
        <f t="shared" si="4"/>
        <v>0</v>
      </c>
      <c r="Y17" s="117">
        <f t="shared" si="5"/>
        <v>0</v>
      </c>
      <c r="Z17" s="107"/>
      <c r="AA17" s="113"/>
      <c r="AB17" s="113"/>
      <c r="AC17" s="114">
        <f t="shared" si="0"/>
        <v>0</v>
      </c>
      <c r="AD17" s="107"/>
      <c r="AE17" s="107"/>
      <c r="AF17" s="121"/>
    </row>
    <row r="18" spans="1:32" s="20" customFormat="1" ht="24">
      <c r="A18" s="244" t="s">
        <v>166</v>
      </c>
      <c r="B18" s="47">
        <v>536</v>
      </c>
      <c r="C18" s="47">
        <v>5421</v>
      </c>
      <c r="D18" s="219">
        <f t="shared" si="6"/>
        <v>59.408219178082192</v>
      </c>
      <c r="E18" s="122">
        <f>23+1+1</f>
        <v>25</v>
      </c>
      <c r="F18" s="122"/>
      <c r="G18" s="122"/>
      <c r="H18" s="236">
        <f t="shared" si="1"/>
        <v>25</v>
      </c>
      <c r="I18" s="231">
        <v>6</v>
      </c>
      <c r="J18" s="115"/>
      <c r="K18" s="107"/>
      <c r="L18" s="108">
        <f>ROUND(E18*0.18+0.25*E18*0.18,0)</f>
        <v>6</v>
      </c>
      <c r="M18" s="108"/>
      <c r="N18" s="109"/>
      <c r="O18" s="109"/>
      <c r="P18" s="116">
        <f t="shared" si="2"/>
        <v>6</v>
      </c>
      <c r="Q18" s="117">
        <f t="shared" si="3"/>
        <v>0</v>
      </c>
      <c r="R18" s="180">
        <v>9</v>
      </c>
      <c r="S18" s="118">
        <f t="shared" si="7"/>
        <v>16</v>
      </c>
      <c r="T18" s="119"/>
      <c r="U18" s="108"/>
      <c r="V18" s="120">
        <f t="shared" si="8"/>
        <v>3</v>
      </c>
      <c r="W18" s="108"/>
      <c r="X18" s="116">
        <f t="shared" si="4"/>
        <v>19</v>
      </c>
      <c r="Y18" s="117">
        <f t="shared" si="5"/>
        <v>-10</v>
      </c>
      <c r="Z18" s="107"/>
      <c r="AA18" s="113"/>
      <c r="AB18" s="113"/>
      <c r="AC18" s="114">
        <f t="shared" si="0"/>
        <v>0</v>
      </c>
      <c r="AD18" s="107"/>
      <c r="AE18" s="107"/>
      <c r="AF18" s="121"/>
    </row>
    <row r="19" spans="1:32" s="20" customFormat="1">
      <c r="A19" s="243" t="s">
        <v>167</v>
      </c>
      <c r="B19" s="47">
        <v>293</v>
      </c>
      <c r="C19" s="47">
        <v>4366</v>
      </c>
      <c r="D19" s="219">
        <f t="shared" si="6"/>
        <v>56.960208741030655</v>
      </c>
      <c r="E19" s="122">
        <v>21</v>
      </c>
      <c r="F19" s="106"/>
      <c r="G19" s="106"/>
      <c r="H19" s="236">
        <f t="shared" si="1"/>
        <v>21</v>
      </c>
      <c r="I19" s="231">
        <v>7</v>
      </c>
      <c r="J19" s="115">
        <v>3</v>
      </c>
      <c r="K19" s="107">
        <v>5</v>
      </c>
      <c r="L19" s="108">
        <f>ROUND(E19*0.18+0.25*E19*0.18, 0)</f>
        <v>5</v>
      </c>
      <c r="M19" s="108"/>
      <c r="N19" s="109"/>
      <c r="O19" s="109"/>
      <c r="P19" s="116">
        <f t="shared" si="2"/>
        <v>5</v>
      </c>
      <c r="Q19" s="117">
        <f t="shared" si="3"/>
        <v>2</v>
      </c>
      <c r="R19" s="180">
        <v>6</v>
      </c>
      <c r="S19" s="118">
        <v>13</v>
      </c>
      <c r="T19" s="119"/>
      <c r="U19" s="108"/>
      <c r="V19" s="120">
        <f t="shared" si="8"/>
        <v>2</v>
      </c>
      <c r="W19" s="108"/>
      <c r="X19" s="116">
        <f t="shared" si="4"/>
        <v>15</v>
      </c>
      <c r="Y19" s="117">
        <f t="shared" si="5"/>
        <v>-9</v>
      </c>
      <c r="Z19" s="107"/>
      <c r="AA19" s="113"/>
      <c r="AB19" s="113"/>
      <c r="AC19" s="114">
        <f t="shared" si="0"/>
        <v>0</v>
      </c>
      <c r="AD19" s="107"/>
      <c r="AE19" s="107"/>
      <c r="AF19" s="121"/>
    </row>
    <row r="20" spans="1:32" s="20" customFormat="1">
      <c r="A20" s="243" t="s">
        <v>168</v>
      </c>
      <c r="B20" s="47">
        <v>620</v>
      </c>
      <c r="C20" s="47">
        <v>4552</v>
      </c>
      <c r="D20" s="219">
        <f t="shared" si="6"/>
        <v>62.356164383561641</v>
      </c>
      <c r="E20" s="122">
        <f>18+1+1</f>
        <v>20</v>
      </c>
      <c r="F20" s="122"/>
      <c r="G20" s="122"/>
      <c r="H20" s="236">
        <f t="shared" si="1"/>
        <v>20</v>
      </c>
      <c r="I20" s="231">
        <v>5</v>
      </c>
      <c r="J20" s="115"/>
      <c r="K20" s="107"/>
      <c r="L20" s="108">
        <f>ROUND(E20*0.18+0.25*E20*0.18, 0)</f>
        <v>5</v>
      </c>
      <c r="M20" s="108"/>
      <c r="N20" s="109"/>
      <c r="O20" s="109"/>
      <c r="P20" s="116">
        <f t="shared" si="2"/>
        <v>5</v>
      </c>
      <c r="Q20" s="117">
        <f t="shared" si="3"/>
        <v>0</v>
      </c>
      <c r="R20" s="180">
        <v>10</v>
      </c>
      <c r="S20" s="118">
        <f t="shared" si="7"/>
        <v>13</v>
      </c>
      <c r="T20" s="119"/>
      <c r="U20" s="108"/>
      <c r="V20" s="120">
        <f t="shared" si="8"/>
        <v>2</v>
      </c>
      <c r="W20" s="108"/>
      <c r="X20" s="116">
        <f t="shared" si="4"/>
        <v>15</v>
      </c>
      <c r="Y20" s="117">
        <f t="shared" si="5"/>
        <v>-5</v>
      </c>
      <c r="Z20" s="107"/>
      <c r="AA20" s="113"/>
      <c r="AB20" s="113"/>
      <c r="AC20" s="114">
        <f t="shared" si="0"/>
        <v>0</v>
      </c>
      <c r="AD20" s="107"/>
      <c r="AE20" s="107"/>
      <c r="AF20" s="121"/>
    </row>
    <row r="21" spans="1:32" s="20" customFormat="1" ht="24">
      <c r="A21" s="243" t="s">
        <v>169</v>
      </c>
      <c r="B21" s="47">
        <v>757</v>
      </c>
      <c r="C21" s="47">
        <v>11461</v>
      </c>
      <c r="D21" s="219">
        <f t="shared" si="6"/>
        <v>71.363636363636374</v>
      </c>
      <c r="E21" s="122">
        <f>43+7-6</f>
        <v>44</v>
      </c>
      <c r="F21" s="122"/>
      <c r="G21" s="122"/>
      <c r="H21" s="236">
        <f t="shared" si="1"/>
        <v>44</v>
      </c>
      <c r="I21" s="231">
        <v>6</v>
      </c>
      <c r="J21" s="115">
        <v>2</v>
      </c>
      <c r="K21" s="107">
        <v>4</v>
      </c>
      <c r="L21" s="108">
        <f>ROUND(E21*0.18+0.25*E21*0.18, 0)</f>
        <v>10</v>
      </c>
      <c r="M21" s="108"/>
      <c r="N21" s="109"/>
      <c r="O21" s="109"/>
      <c r="P21" s="116">
        <f t="shared" si="2"/>
        <v>10</v>
      </c>
      <c r="Q21" s="117">
        <f t="shared" si="3"/>
        <v>-4</v>
      </c>
      <c r="R21" s="180">
        <v>24</v>
      </c>
      <c r="S21" s="118">
        <f t="shared" si="7"/>
        <v>28</v>
      </c>
      <c r="T21" s="119"/>
      <c r="U21" s="108"/>
      <c r="V21" s="120">
        <f t="shared" si="8"/>
        <v>4</v>
      </c>
      <c r="W21" s="108"/>
      <c r="X21" s="116">
        <f t="shared" si="4"/>
        <v>32</v>
      </c>
      <c r="Y21" s="117">
        <f t="shared" si="5"/>
        <v>-8</v>
      </c>
      <c r="Z21" s="107"/>
      <c r="AA21" s="113"/>
      <c r="AB21" s="113"/>
      <c r="AC21" s="114">
        <f t="shared" si="0"/>
        <v>0</v>
      </c>
      <c r="AD21" s="107"/>
      <c r="AE21" s="107"/>
      <c r="AF21" s="121"/>
    </row>
    <row r="22" spans="1:32" s="20" customFormat="1">
      <c r="A22" s="243" t="s">
        <v>170</v>
      </c>
      <c r="B22" s="47"/>
      <c r="C22" s="47"/>
      <c r="D22" s="219">
        <f t="shared" si="6"/>
        <v>0</v>
      </c>
      <c r="E22" s="122">
        <v>37</v>
      </c>
      <c r="F22" s="122">
        <v>3</v>
      </c>
      <c r="G22" s="122"/>
      <c r="H22" s="236">
        <f t="shared" si="1"/>
        <v>40</v>
      </c>
      <c r="I22" s="231">
        <v>8</v>
      </c>
      <c r="J22" s="115">
        <v>2</v>
      </c>
      <c r="K22" s="107">
        <v>5</v>
      </c>
      <c r="L22" s="108">
        <f>ROUND(E22*0.2+1, 0)</f>
        <v>8</v>
      </c>
      <c r="M22" s="108">
        <f>ROUND(F22*0.4+0.25*F22*0.4, 0)</f>
        <v>2</v>
      </c>
      <c r="N22" s="109"/>
      <c r="O22" s="109"/>
      <c r="P22" s="116">
        <f t="shared" si="2"/>
        <v>10</v>
      </c>
      <c r="Q22" s="117">
        <f t="shared" si="3"/>
        <v>-2</v>
      </c>
      <c r="R22" s="180">
        <v>25</v>
      </c>
      <c r="S22" s="118">
        <f>ROUND(E22*0.6, 0)</f>
        <v>22</v>
      </c>
      <c r="T22" s="119">
        <f>ROUND(F22*2, 0)</f>
        <v>6</v>
      </c>
      <c r="U22" s="108"/>
      <c r="V22" s="120">
        <f>ROUND(E22*0.1, 0)</f>
        <v>4</v>
      </c>
      <c r="W22" s="108"/>
      <c r="X22" s="116">
        <f t="shared" si="4"/>
        <v>32</v>
      </c>
      <c r="Y22" s="117">
        <f t="shared" si="5"/>
        <v>-7</v>
      </c>
      <c r="Z22" s="107"/>
      <c r="AA22" s="108">
        <f>H22*0.02</f>
        <v>0.8</v>
      </c>
      <c r="AB22" s="113"/>
      <c r="AC22" s="114">
        <f t="shared" si="0"/>
        <v>-0.8</v>
      </c>
      <c r="AD22" s="107"/>
      <c r="AE22" s="107"/>
      <c r="AF22" s="121"/>
    </row>
    <row r="23" spans="1:32" s="20" customFormat="1">
      <c r="A23" s="244" t="s">
        <v>171</v>
      </c>
      <c r="B23" s="47"/>
      <c r="C23" s="47"/>
      <c r="D23" s="219" t="e">
        <f t="shared" si="6"/>
        <v>#DIV/0!</v>
      </c>
      <c r="E23" s="122"/>
      <c r="F23" s="122"/>
      <c r="G23" s="122"/>
      <c r="H23" s="236">
        <f t="shared" si="1"/>
        <v>0</v>
      </c>
      <c r="I23" s="231">
        <v>1</v>
      </c>
      <c r="J23" s="107"/>
      <c r="K23" s="107"/>
      <c r="L23" s="173"/>
      <c r="M23" s="174"/>
      <c r="N23" s="109"/>
      <c r="O23" s="109"/>
      <c r="P23" s="116">
        <f t="shared" si="2"/>
        <v>0</v>
      </c>
      <c r="Q23" s="117">
        <f t="shared" si="3"/>
        <v>1</v>
      </c>
      <c r="R23" s="180">
        <v>1</v>
      </c>
      <c r="S23" s="175"/>
      <c r="T23" s="176"/>
      <c r="U23" s="177"/>
      <c r="V23" s="175"/>
      <c r="W23" s="270"/>
      <c r="X23" s="116">
        <f t="shared" si="4"/>
        <v>0</v>
      </c>
      <c r="Y23" s="117">
        <f t="shared" si="5"/>
        <v>1</v>
      </c>
      <c r="Z23" s="107"/>
      <c r="AA23" s="218"/>
      <c r="AB23" s="113"/>
      <c r="AC23" s="114">
        <f t="shared" si="0"/>
        <v>0</v>
      </c>
      <c r="AD23" s="107"/>
      <c r="AE23" s="107"/>
      <c r="AF23" s="121"/>
    </row>
    <row r="24" spans="1:32" s="20" customFormat="1">
      <c r="A24" s="243" t="s">
        <v>172</v>
      </c>
      <c r="B24" s="47">
        <v>603</v>
      </c>
      <c r="C24" s="47">
        <v>6174</v>
      </c>
      <c r="D24" s="219">
        <f t="shared" si="6"/>
        <v>56.38356164383562</v>
      </c>
      <c r="E24" s="122">
        <v>24</v>
      </c>
      <c r="F24" s="122"/>
      <c r="G24" s="122">
        <v>6</v>
      </c>
      <c r="H24" s="236">
        <f t="shared" si="1"/>
        <v>30</v>
      </c>
      <c r="I24" s="231">
        <v>9</v>
      </c>
      <c r="J24" s="115">
        <v>3</v>
      </c>
      <c r="K24" s="107">
        <v>6</v>
      </c>
      <c r="L24" s="108">
        <f>ROUND(E24*0.2+0.25*E24*0.2, 0)</f>
        <v>6</v>
      </c>
      <c r="M24" s="108"/>
      <c r="N24" s="108">
        <f>ROUND(G24*0.6+0.25*G24*0.6, 0)</f>
        <v>5</v>
      </c>
      <c r="O24" s="109"/>
      <c r="P24" s="116">
        <f t="shared" si="2"/>
        <v>11</v>
      </c>
      <c r="Q24" s="117">
        <f t="shared" si="3"/>
        <v>-2</v>
      </c>
      <c r="R24" s="180">
        <v>27</v>
      </c>
      <c r="S24" s="118">
        <f t="shared" ref="S24:S29" si="9">ROUND(E24*0.5+0.25*E24*0.5, 0)</f>
        <v>15</v>
      </c>
      <c r="T24" s="108"/>
      <c r="U24" s="178">
        <f>ROUND(G24*4+0.25*G24*4, 0)</f>
        <v>30</v>
      </c>
      <c r="V24" s="120">
        <f>ROUND(E24*0.3+0.25*E24*0.3, 0)</f>
        <v>9</v>
      </c>
      <c r="W24" s="108"/>
      <c r="X24" s="116">
        <f t="shared" si="4"/>
        <v>54</v>
      </c>
      <c r="Y24" s="117">
        <f t="shared" si="5"/>
        <v>-27</v>
      </c>
      <c r="Z24" s="107"/>
      <c r="AA24" s="108"/>
      <c r="AB24" s="113"/>
      <c r="AC24" s="114">
        <f t="shared" si="0"/>
        <v>0</v>
      </c>
      <c r="AD24" s="107"/>
      <c r="AE24" s="107"/>
      <c r="AF24" s="121"/>
    </row>
    <row r="25" spans="1:32" s="20" customFormat="1">
      <c r="A25" s="243" t="s">
        <v>173</v>
      </c>
      <c r="B25" s="47">
        <v>890</v>
      </c>
      <c r="C25" s="47">
        <v>6000</v>
      </c>
      <c r="D25" s="219">
        <f t="shared" si="6"/>
        <v>46.966731898238748</v>
      </c>
      <c r="E25" s="122">
        <v>35</v>
      </c>
      <c r="F25" s="122"/>
      <c r="G25" s="122"/>
      <c r="H25" s="236">
        <f t="shared" si="1"/>
        <v>35</v>
      </c>
      <c r="I25" s="231">
        <v>12</v>
      </c>
      <c r="J25" s="115">
        <v>1</v>
      </c>
      <c r="K25" s="107">
        <v>11</v>
      </c>
      <c r="L25" s="108">
        <f>ROUND(E25*0.18+0.25*E25*0.18, 0)+2</f>
        <v>10</v>
      </c>
      <c r="M25" s="108"/>
      <c r="N25" s="109"/>
      <c r="O25" s="109"/>
      <c r="P25" s="116">
        <f t="shared" si="2"/>
        <v>10</v>
      </c>
      <c r="Q25" s="179">
        <f t="shared" si="3"/>
        <v>2</v>
      </c>
      <c r="R25" s="180">
        <v>12</v>
      </c>
      <c r="S25" s="118">
        <f t="shared" si="9"/>
        <v>22</v>
      </c>
      <c r="T25" s="108"/>
      <c r="U25" s="108"/>
      <c r="V25" s="120">
        <f>H25*0.2+0.25*H25*0.2</f>
        <v>8.75</v>
      </c>
      <c r="W25" s="108"/>
      <c r="X25" s="116">
        <f t="shared" si="4"/>
        <v>30.75</v>
      </c>
      <c r="Y25" s="117">
        <f t="shared" si="5"/>
        <v>-18.75</v>
      </c>
      <c r="Z25" s="107">
        <v>1</v>
      </c>
      <c r="AA25" s="108">
        <f>H25*0.03+0.25*H25*0.03</f>
        <v>1.3125</v>
      </c>
      <c r="AB25" s="113"/>
      <c r="AC25" s="114">
        <f t="shared" si="0"/>
        <v>-0.3125</v>
      </c>
      <c r="AD25" s="107"/>
      <c r="AE25" s="107"/>
      <c r="AF25" s="121"/>
    </row>
    <row r="26" spans="1:32" s="20" customFormat="1">
      <c r="A26" s="243" t="s">
        <v>174</v>
      </c>
      <c r="B26" s="47">
        <v>1113</v>
      </c>
      <c r="C26" s="47">
        <v>6771</v>
      </c>
      <c r="D26" s="219">
        <f t="shared" si="6"/>
        <v>61.835616438356162</v>
      </c>
      <c r="E26" s="122">
        <v>30</v>
      </c>
      <c r="F26" s="122"/>
      <c r="G26" s="122"/>
      <c r="H26" s="236">
        <f t="shared" si="1"/>
        <v>30</v>
      </c>
      <c r="I26" s="231">
        <v>9</v>
      </c>
      <c r="J26" s="115">
        <v>2</v>
      </c>
      <c r="K26" s="107">
        <v>7</v>
      </c>
      <c r="L26" s="108">
        <f>ROUND(E26*0.2+0.25*E26*0.2+1, 0)</f>
        <v>9</v>
      </c>
      <c r="M26" s="108"/>
      <c r="N26" s="109"/>
      <c r="O26" s="109"/>
      <c r="P26" s="116">
        <f t="shared" si="2"/>
        <v>9</v>
      </c>
      <c r="Q26" s="117">
        <f t="shared" si="3"/>
        <v>0</v>
      </c>
      <c r="R26" s="180">
        <v>13</v>
      </c>
      <c r="S26" s="118">
        <f t="shared" si="9"/>
        <v>19</v>
      </c>
      <c r="T26" s="108"/>
      <c r="U26" s="108"/>
      <c r="V26" s="120">
        <f>ROUND(E26*0.3+0.25*E26*0.3, 0)</f>
        <v>11</v>
      </c>
      <c r="W26" s="108"/>
      <c r="X26" s="116">
        <f t="shared" si="4"/>
        <v>30</v>
      </c>
      <c r="Y26" s="117">
        <f t="shared" si="5"/>
        <v>-17</v>
      </c>
      <c r="Z26" s="107"/>
      <c r="AA26" s="113"/>
      <c r="AB26" s="113"/>
      <c r="AC26" s="114">
        <f t="shared" si="0"/>
        <v>0</v>
      </c>
      <c r="AD26" s="107"/>
      <c r="AE26" s="107"/>
      <c r="AF26" s="121"/>
    </row>
    <row r="27" spans="1:32" s="20" customFormat="1">
      <c r="A27" s="245" t="s">
        <v>175</v>
      </c>
      <c r="B27" s="47">
        <v>2755</v>
      </c>
      <c r="C27" s="47">
        <v>16949</v>
      </c>
      <c r="D27" s="219">
        <f t="shared" si="6"/>
        <v>69.306890206501734</v>
      </c>
      <c r="E27" s="122">
        <f>56+11</f>
        <v>67</v>
      </c>
      <c r="F27" s="122"/>
      <c r="G27" s="122"/>
      <c r="H27" s="236">
        <f t="shared" si="1"/>
        <v>67</v>
      </c>
      <c r="I27" s="231">
        <v>18</v>
      </c>
      <c r="J27" s="115">
        <v>3</v>
      </c>
      <c r="K27" s="107">
        <v>14</v>
      </c>
      <c r="L27" s="108">
        <f>ROUND(E27*0.2+0.25*E27*0.2, 0)</f>
        <v>17</v>
      </c>
      <c r="M27" s="108"/>
      <c r="N27" s="109"/>
      <c r="O27" s="109"/>
      <c r="P27" s="116">
        <f t="shared" si="2"/>
        <v>17</v>
      </c>
      <c r="Q27" s="117">
        <f t="shared" si="3"/>
        <v>1</v>
      </c>
      <c r="R27" s="180">
        <v>30</v>
      </c>
      <c r="S27" s="118">
        <f t="shared" si="9"/>
        <v>42</v>
      </c>
      <c r="T27" s="108"/>
      <c r="U27" s="108"/>
      <c r="V27" s="120">
        <f>ROUND(E27*0.3+0.25*E27*0.3, 0)</f>
        <v>25</v>
      </c>
      <c r="W27" s="108"/>
      <c r="X27" s="116">
        <f t="shared" si="4"/>
        <v>67</v>
      </c>
      <c r="Y27" s="117">
        <f t="shared" si="5"/>
        <v>-37</v>
      </c>
      <c r="Z27" s="107"/>
      <c r="AA27" s="113"/>
      <c r="AB27" s="113"/>
      <c r="AC27" s="114">
        <f t="shared" si="0"/>
        <v>0</v>
      </c>
      <c r="AD27" s="107"/>
      <c r="AE27" s="107"/>
      <c r="AF27" s="121"/>
    </row>
    <row r="28" spans="1:32" s="20" customFormat="1">
      <c r="A28" s="243" t="s">
        <v>176</v>
      </c>
      <c r="B28" s="47">
        <v>742</v>
      </c>
      <c r="C28" s="47">
        <v>8567</v>
      </c>
      <c r="D28" s="219">
        <f t="shared" si="6"/>
        <v>78.237442922374427</v>
      </c>
      <c r="E28" s="122">
        <v>30</v>
      </c>
      <c r="F28" s="122"/>
      <c r="G28" s="122"/>
      <c r="H28" s="236">
        <f t="shared" si="1"/>
        <v>30</v>
      </c>
      <c r="I28" s="257">
        <v>10</v>
      </c>
      <c r="J28" s="115">
        <v>2</v>
      </c>
      <c r="K28" s="107">
        <v>8</v>
      </c>
      <c r="L28" s="108">
        <f>ROUND(E28*0.18+0.25*E28*0.18, 0)</f>
        <v>7</v>
      </c>
      <c r="M28" s="108"/>
      <c r="N28" s="109"/>
      <c r="O28" s="109"/>
      <c r="P28" s="116">
        <f t="shared" si="2"/>
        <v>7</v>
      </c>
      <c r="Q28" s="179">
        <f t="shared" si="3"/>
        <v>3</v>
      </c>
      <c r="R28" s="180">
        <v>15</v>
      </c>
      <c r="S28" s="118">
        <f t="shared" si="9"/>
        <v>19</v>
      </c>
      <c r="T28" s="108"/>
      <c r="U28" s="108"/>
      <c r="V28" s="120">
        <f>ROUND(E28*0.3+0.25*E28*0.3, 0)</f>
        <v>11</v>
      </c>
      <c r="W28" s="108"/>
      <c r="X28" s="116">
        <f t="shared" si="4"/>
        <v>30</v>
      </c>
      <c r="Y28" s="117">
        <f t="shared" si="5"/>
        <v>-15</v>
      </c>
      <c r="Z28" s="107"/>
      <c r="AA28" s="113"/>
      <c r="AB28" s="113"/>
      <c r="AC28" s="114">
        <f t="shared" si="0"/>
        <v>0</v>
      </c>
      <c r="AD28" s="107"/>
      <c r="AE28" s="107"/>
      <c r="AF28" s="121"/>
    </row>
    <row r="29" spans="1:32" s="20" customFormat="1">
      <c r="A29" s="243" t="s">
        <v>177</v>
      </c>
      <c r="B29" s="47">
        <v>354</v>
      </c>
      <c r="C29" s="47">
        <v>4240</v>
      </c>
      <c r="D29" s="219">
        <f t="shared" si="6"/>
        <v>55.316373124592303</v>
      </c>
      <c r="E29" s="122">
        <v>21</v>
      </c>
      <c r="F29" s="122"/>
      <c r="G29" s="122"/>
      <c r="H29" s="236">
        <f t="shared" si="1"/>
        <v>21</v>
      </c>
      <c r="I29" s="231">
        <v>5</v>
      </c>
      <c r="J29" s="115">
        <v>1</v>
      </c>
      <c r="K29" s="107">
        <v>4</v>
      </c>
      <c r="L29" s="108">
        <v>5</v>
      </c>
      <c r="M29" s="108"/>
      <c r="N29" s="109"/>
      <c r="O29" s="109"/>
      <c r="P29" s="116">
        <f t="shared" si="2"/>
        <v>5</v>
      </c>
      <c r="Q29" s="117">
        <f t="shared" si="3"/>
        <v>0</v>
      </c>
      <c r="R29" s="180">
        <v>13</v>
      </c>
      <c r="S29" s="118">
        <f t="shared" si="9"/>
        <v>13</v>
      </c>
      <c r="T29" s="108"/>
      <c r="U29" s="108"/>
      <c r="V29" s="172"/>
      <c r="W29" s="108"/>
      <c r="X29" s="116">
        <f t="shared" si="4"/>
        <v>13</v>
      </c>
      <c r="Y29" s="117">
        <f t="shared" si="5"/>
        <v>0</v>
      </c>
      <c r="Z29" s="107"/>
      <c r="AA29" s="113"/>
      <c r="AB29" s="113"/>
      <c r="AC29" s="114">
        <f t="shared" si="0"/>
        <v>0</v>
      </c>
      <c r="AD29" s="107"/>
      <c r="AE29" s="107"/>
      <c r="AF29" s="121"/>
    </row>
    <row r="30" spans="1:32" s="20" customFormat="1" ht="29.25">
      <c r="A30" s="246" t="s">
        <v>178</v>
      </c>
      <c r="B30" s="47"/>
      <c r="C30" s="47"/>
      <c r="D30" s="219" t="e">
        <f t="shared" si="6"/>
        <v>#DIV/0!</v>
      </c>
      <c r="E30" s="122"/>
      <c r="F30" s="122"/>
      <c r="G30" s="122"/>
      <c r="H30" s="236">
        <f t="shared" si="1"/>
        <v>0</v>
      </c>
      <c r="I30" s="231">
        <v>0</v>
      </c>
      <c r="J30" s="107"/>
      <c r="K30" s="107"/>
      <c r="L30" s="108"/>
      <c r="M30" s="108"/>
      <c r="N30" s="109"/>
      <c r="O30" s="109"/>
      <c r="P30" s="116">
        <f t="shared" si="2"/>
        <v>0</v>
      </c>
      <c r="Q30" s="117">
        <f t="shared" si="3"/>
        <v>0</v>
      </c>
      <c r="R30" s="180">
        <v>40</v>
      </c>
      <c r="S30" s="112"/>
      <c r="T30" s="108"/>
      <c r="U30" s="108"/>
      <c r="V30" s="108"/>
      <c r="W30" s="108"/>
      <c r="X30" s="116">
        <f t="shared" si="4"/>
        <v>0</v>
      </c>
      <c r="Y30" s="117">
        <f t="shared" si="5"/>
        <v>40</v>
      </c>
      <c r="Z30" s="107"/>
      <c r="AA30" s="113"/>
      <c r="AB30" s="113"/>
      <c r="AC30" s="114">
        <f t="shared" si="0"/>
        <v>0</v>
      </c>
      <c r="AD30" s="107"/>
      <c r="AE30" s="107"/>
      <c r="AF30" s="121"/>
    </row>
    <row r="31" spans="1:32" s="20" customFormat="1" ht="24">
      <c r="A31" s="243" t="s">
        <v>179</v>
      </c>
      <c r="B31" s="47">
        <f>721+2151</f>
        <v>2872</v>
      </c>
      <c r="C31" s="47">
        <f>3070+9414</f>
        <v>12484</v>
      </c>
      <c r="D31" s="219">
        <f t="shared" si="6"/>
        <v>53.44178082191781</v>
      </c>
      <c r="E31" s="122">
        <f>65-1</f>
        <v>64</v>
      </c>
      <c r="F31" s="122"/>
      <c r="G31" s="122"/>
      <c r="H31" s="236">
        <f t="shared" si="1"/>
        <v>64</v>
      </c>
      <c r="I31" s="231">
        <v>21</v>
      </c>
      <c r="J31" s="115">
        <v>2</v>
      </c>
      <c r="K31" s="107"/>
      <c r="L31" s="108">
        <f>ROUND(E31*0.18+13198/2940+2, 0)</f>
        <v>18</v>
      </c>
      <c r="M31" s="108"/>
      <c r="N31" s="109"/>
      <c r="O31" s="109"/>
      <c r="P31" s="116">
        <f t="shared" si="2"/>
        <v>18</v>
      </c>
      <c r="Q31" s="179">
        <f t="shared" si="3"/>
        <v>3</v>
      </c>
      <c r="R31" s="180">
        <v>36</v>
      </c>
      <c r="S31" s="112">
        <f>ROUND(H31*0.5, 0)</f>
        <v>32</v>
      </c>
      <c r="T31" s="108"/>
      <c r="U31" s="108"/>
      <c r="V31" s="108">
        <f>ROUND(E31*0.2, 0)</f>
        <v>13</v>
      </c>
      <c r="W31" s="108"/>
      <c r="X31" s="116">
        <f t="shared" si="4"/>
        <v>45</v>
      </c>
      <c r="Y31" s="117">
        <f>R30-X31</f>
        <v>-5</v>
      </c>
      <c r="Z31" s="107"/>
      <c r="AA31" s="113">
        <v>1</v>
      </c>
      <c r="AB31" s="113"/>
      <c r="AC31" s="114">
        <f t="shared" si="0"/>
        <v>-1</v>
      </c>
      <c r="AD31" s="107"/>
      <c r="AE31" s="107"/>
      <c r="AF31" s="121"/>
    </row>
    <row r="32" spans="1:32" s="20" customFormat="1">
      <c r="A32" s="243" t="s">
        <v>180</v>
      </c>
      <c r="B32" s="47">
        <v>1822</v>
      </c>
      <c r="C32" s="47">
        <v>5963</v>
      </c>
      <c r="D32" s="219">
        <f t="shared" si="6"/>
        <v>29.173189823874758</v>
      </c>
      <c r="E32" s="106">
        <v>56</v>
      </c>
      <c r="F32" s="106"/>
      <c r="G32" s="106"/>
      <c r="H32" s="247">
        <f t="shared" si="1"/>
        <v>56</v>
      </c>
      <c r="I32" s="231">
        <v>8</v>
      </c>
      <c r="J32" s="115"/>
      <c r="K32" s="107"/>
      <c r="L32" s="120">
        <f>ROUND(H32*0.1, 0)</f>
        <v>6</v>
      </c>
      <c r="M32" s="108"/>
      <c r="N32" s="109"/>
      <c r="O32" s="109"/>
      <c r="P32" s="116">
        <f t="shared" si="2"/>
        <v>6</v>
      </c>
      <c r="Q32" s="179">
        <f t="shared" si="3"/>
        <v>2</v>
      </c>
      <c r="R32" s="180">
        <v>15</v>
      </c>
      <c r="S32" s="112">
        <f>ROUND(H32*0.6, 0)</f>
        <v>34</v>
      </c>
      <c r="T32" s="108"/>
      <c r="U32" s="108"/>
      <c r="V32" s="108"/>
      <c r="W32" s="108"/>
      <c r="X32" s="116">
        <f t="shared" si="4"/>
        <v>34</v>
      </c>
      <c r="Y32" s="117">
        <f t="shared" si="5"/>
        <v>-19</v>
      </c>
      <c r="Z32" s="107"/>
      <c r="AA32" s="113"/>
      <c r="AB32" s="113"/>
      <c r="AC32" s="114">
        <f t="shared" si="0"/>
        <v>0</v>
      </c>
      <c r="AD32" s="107"/>
      <c r="AE32" s="107"/>
      <c r="AF32" s="121"/>
    </row>
    <row r="33" spans="1:32" s="20" customFormat="1" ht="24.75" customHeight="1">
      <c r="A33" s="285" t="s">
        <v>181</v>
      </c>
      <c r="B33" s="47"/>
      <c r="C33" s="47"/>
      <c r="D33" s="219" t="e">
        <f t="shared" si="6"/>
        <v>#DIV/0!</v>
      </c>
      <c r="E33" s="106"/>
      <c r="F33" s="106"/>
      <c r="G33" s="106"/>
      <c r="H33" s="247">
        <f t="shared" si="1"/>
        <v>0</v>
      </c>
      <c r="I33" s="231">
        <v>2</v>
      </c>
      <c r="J33" s="107"/>
      <c r="K33" s="107"/>
      <c r="L33" s="108">
        <v>9</v>
      </c>
      <c r="M33" s="108"/>
      <c r="N33" s="109"/>
      <c r="O33" s="109"/>
      <c r="P33" s="116">
        <f t="shared" si="2"/>
        <v>9</v>
      </c>
      <c r="Q33" s="117">
        <f t="shared" si="3"/>
        <v>-7</v>
      </c>
      <c r="R33" s="180">
        <v>65</v>
      </c>
      <c r="S33" s="112"/>
      <c r="T33" s="108"/>
      <c r="U33" s="108"/>
      <c r="V33" s="108">
        <v>18</v>
      </c>
      <c r="W33" s="108"/>
      <c r="X33" s="116">
        <f t="shared" si="4"/>
        <v>18</v>
      </c>
      <c r="Y33" s="117">
        <f t="shared" si="5"/>
        <v>47</v>
      </c>
      <c r="Z33" s="107"/>
      <c r="AA33" s="113"/>
      <c r="AB33" s="113"/>
      <c r="AC33" s="114">
        <f t="shared" si="0"/>
        <v>0</v>
      </c>
      <c r="AD33" s="107"/>
      <c r="AE33" s="107"/>
      <c r="AF33" s="121"/>
    </row>
    <row r="34" spans="1:32" s="20" customFormat="1" ht="24">
      <c r="A34" s="243" t="s">
        <v>182</v>
      </c>
      <c r="B34" s="47"/>
      <c r="C34" s="47"/>
      <c r="D34" s="219" t="e">
        <f t="shared" si="6"/>
        <v>#DIV/0!</v>
      </c>
      <c r="E34" s="106"/>
      <c r="F34" s="106"/>
      <c r="G34" s="106"/>
      <c r="H34" s="247">
        <f t="shared" si="1"/>
        <v>0</v>
      </c>
      <c r="I34" s="232">
        <v>1</v>
      </c>
      <c r="J34" s="115"/>
      <c r="K34" s="181"/>
      <c r="L34" s="108">
        <v>0</v>
      </c>
      <c r="M34" s="108"/>
      <c r="N34" s="109"/>
      <c r="O34" s="109"/>
      <c r="P34" s="116">
        <f t="shared" si="2"/>
        <v>0</v>
      </c>
      <c r="Q34" s="117">
        <f t="shared" si="3"/>
        <v>1</v>
      </c>
      <c r="R34" s="180">
        <v>34</v>
      </c>
      <c r="S34" s="112"/>
      <c r="T34" s="108"/>
      <c r="U34" s="108"/>
      <c r="V34" s="108"/>
      <c r="W34" s="108"/>
      <c r="X34" s="116">
        <f t="shared" si="4"/>
        <v>0</v>
      </c>
      <c r="Y34" s="117">
        <f t="shared" si="5"/>
        <v>34</v>
      </c>
      <c r="Z34" s="107"/>
      <c r="AA34" s="113"/>
      <c r="AB34" s="113"/>
      <c r="AC34" s="114">
        <f t="shared" si="0"/>
        <v>0</v>
      </c>
      <c r="AD34" s="107"/>
      <c r="AE34" s="107"/>
      <c r="AF34" s="121"/>
    </row>
    <row r="35" spans="1:32" s="20" customFormat="1" ht="23.25" customHeight="1">
      <c r="A35" s="248" t="s">
        <v>183</v>
      </c>
      <c r="B35" s="47"/>
      <c r="C35" s="47"/>
      <c r="D35" s="219" t="e">
        <f t="shared" si="6"/>
        <v>#DIV/0!</v>
      </c>
      <c r="E35" s="106"/>
      <c r="F35" s="106"/>
      <c r="G35" s="106"/>
      <c r="H35" s="247">
        <f>SUM(E35:G35)</f>
        <v>0</v>
      </c>
      <c r="I35" s="231">
        <v>2</v>
      </c>
      <c r="J35" s="107"/>
      <c r="K35" s="107"/>
      <c r="L35" s="109">
        <v>2</v>
      </c>
      <c r="M35" s="109"/>
      <c r="N35" s="109"/>
      <c r="O35" s="109"/>
      <c r="P35" s="116">
        <f t="shared" si="2"/>
        <v>2</v>
      </c>
      <c r="Q35" s="117">
        <f t="shared" si="3"/>
        <v>0</v>
      </c>
      <c r="R35" s="180"/>
      <c r="S35" s="183"/>
      <c r="T35" s="109"/>
      <c r="U35" s="109"/>
      <c r="V35" s="109"/>
      <c r="W35" s="109"/>
      <c r="X35" s="116">
        <f t="shared" si="4"/>
        <v>0</v>
      </c>
      <c r="Y35" s="117">
        <f t="shared" si="5"/>
        <v>0</v>
      </c>
      <c r="Z35" s="107"/>
      <c r="AA35" s="113"/>
      <c r="AB35" s="113"/>
      <c r="AC35" s="114">
        <f t="shared" si="0"/>
        <v>0</v>
      </c>
      <c r="AD35" s="107"/>
      <c r="AE35" s="107"/>
      <c r="AF35" s="121"/>
    </row>
    <row r="36" spans="1:32" s="20" customFormat="1" ht="24">
      <c r="A36" s="248" t="s">
        <v>184</v>
      </c>
      <c r="B36" s="47"/>
      <c r="C36" s="47"/>
      <c r="D36" s="219" t="e">
        <f t="shared" si="6"/>
        <v>#DIV/0!</v>
      </c>
      <c r="E36" s="106"/>
      <c r="F36" s="106"/>
      <c r="G36" s="106"/>
      <c r="H36" s="247">
        <f>SUM(E36:G36)</f>
        <v>0</v>
      </c>
      <c r="I36" s="231">
        <v>3</v>
      </c>
      <c r="J36" s="107">
        <v>1</v>
      </c>
      <c r="K36" s="107">
        <v>2</v>
      </c>
      <c r="L36" s="109">
        <v>3</v>
      </c>
      <c r="M36" s="109"/>
      <c r="N36" s="109"/>
      <c r="O36" s="109"/>
      <c r="P36" s="116">
        <f t="shared" si="2"/>
        <v>3</v>
      </c>
      <c r="Q36" s="117">
        <f t="shared" si="3"/>
        <v>0</v>
      </c>
      <c r="R36" s="180"/>
      <c r="S36" s="183"/>
      <c r="T36" s="109"/>
      <c r="U36" s="109"/>
      <c r="V36" s="109"/>
      <c r="W36" s="109"/>
      <c r="X36" s="116">
        <f t="shared" si="4"/>
        <v>0</v>
      </c>
      <c r="Y36" s="117">
        <f t="shared" si="5"/>
        <v>0</v>
      </c>
      <c r="Z36" s="107"/>
      <c r="AA36" s="113"/>
      <c r="AB36" s="113"/>
      <c r="AC36" s="114">
        <f t="shared" si="0"/>
        <v>0</v>
      </c>
      <c r="AD36" s="107"/>
      <c r="AE36" s="107"/>
      <c r="AF36" s="121"/>
    </row>
    <row r="37" spans="1:32" s="20" customFormat="1" ht="24">
      <c r="A37" s="248" t="s">
        <v>185</v>
      </c>
      <c r="B37" s="47"/>
      <c r="C37" s="47"/>
      <c r="D37" s="219" t="e">
        <f t="shared" si="6"/>
        <v>#DIV/0!</v>
      </c>
      <c r="E37" s="106"/>
      <c r="F37" s="106"/>
      <c r="G37" s="106"/>
      <c r="H37" s="247">
        <v>0</v>
      </c>
      <c r="I37" s="231">
        <v>1</v>
      </c>
      <c r="J37" s="107"/>
      <c r="K37" s="107"/>
      <c r="L37" s="109">
        <v>1</v>
      </c>
      <c r="M37" s="109"/>
      <c r="N37" s="109"/>
      <c r="O37" s="109"/>
      <c r="P37" s="116">
        <f t="shared" si="2"/>
        <v>1</v>
      </c>
      <c r="Q37" s="117">
        <f t="shared" si="3"/>
        <v>0</v>
      </c>
      <c r="R37" s="180"/>
      <c r="S37" s="183"/>
      <c r="T37" s="109"/>
      <c r="U37" s="109"/>
      <c r="V37" s="109"/>
      <c r="W37" s="109"/>
      <c r="X37" s="116"/>
      <c r="Y37" s="117"/>
      <c r="Z37" s="107"/>
      <c r="AA37" s="113"/>
      <c r="AB37" s="113"/>
      <c r="AC37" s="114">
        <f t="shared" si="0"/>
        <v>0</v>
      </c>
      <c r="AD37" s="107"/>
      <c r="AE37" s="107"/>
      <c r="AF37" s="107"/>
    </row>
    <row r="38" spans="1:32" s="20" customFormat="1" ht="24">
      <c r="A38" s="248" t="s">
        <v>186</v>
      </c>
      <c r="B38" s="47"/>
      <c r="C38" s="47"/>
      <c r="D38" s="219" t="e">
        <f t="shared" si="6"/>
        <v>#DIV/0!</v>
      </c>
      <c r="E38" s="106"/>
      <c r="F38" s="106"/>
      <c r="G38" s="106"/>
      <c r="H38" s="247">
        <v>0</v>
      </c>
      <c r="I38" s="231">
        <v>1</v>
      </c>
      <c r="J38" s="107"/>
      <c r="K38" s="107"/>
      <c r="L38" s="109">
        <v>1</v>
      </c>
      <c r="M38" s="109"/>
      <c r="N38" s="109"/>
      <c r="O38" s="109"/>
      <c r="P38" s="116">
        <f t="shared" si="2"/>
        <v>1</v>
      </c>
      <c r="Q38" s="117">
        <f t="shared" si="3"/>
        <v>0</v>
      </c>
      <c r="R38" s="180"/>
      <c r="S38" s="183"/>
      <c r="T38" s="109"/>
      <c r="U38" s="109"/>
      <c r="V38" s="109"/>
      <c r="W38" s="109"/>
      <c r="X38" s="116"/>
      <c r="Y38" s="117"/>
      <c r="Z38" s="107"/>
      <c r="AA38" s="113"/>
      <c r="AB38" s="113"/>
      <c r="AC38" s="114">
        <f t="shared" si="0"/>
        <v>0</v>
      </c>
      <c r="AD38" s="107"/>
      <c r="AE38" s="107"/>
      <c r="AF38" s="107"/>
    </row>
    <row r="39" spans="1:32" ht="27.75" customHeight="1" thickBot="1">
      <c r="A39" s="249" t="s">
        <v>189</v>
      </c>
      <c r="B39" s="250">
        <f>SUM(B9:B38)-B32</f>
        <v>18349</v>
      </c>
      <c r="C39" s="286">
        <f>SUM(C9:C38)-C32</f>
        <v>129908</v>
      </c>
      <c r="D39" s="282">
        <f t="shared" ref="D39" si="10">C39/H39/3.65</f>
        <v>55.611301369863014</v>
      </c>
      <c r="E39" s="251">
        <f>SUM(E9:E31)</f>
        <v>598</v>
      </c>
      <c r="F39" s="251">
        <f>SUM(F9:F36)</f>
        <v>36</v>
      </c>
      <c r="G39" s="251">
        <f>SUM(G9:G36)</f>
        <v>6</v>
      </c>
      <c r="H39" s="252">
        <f>SUM(E39:G39)</f>
        <v>640</v>
      </c>
      <c r="I39" s="258">
        <f>SUM(I9:I38)</f>
        <v>195</v>
      </c>
      <c r="J39" s="184">
        <f>SUM(J9:J38)</f>
        <v>33</v>
      </c>
      <c r="K39" s="184">
        <f>SUM(K9:K38)</f>
        <v>105</v>
      </c>
      <c r="L39" s="185">
        <f>SUM(L9:L38)</f>
        <v>182</v>
      </c>
      <c r="M39" s="185">
        <f t="shared" ref="M39:O39" si="11">SUM(M9:M36)</f>
        <v>20</v>
      </c>
      <c r="N39" s="185">
        <f t="shared" si="11"/>
        <v>5</v>
      </c>
      <c r="O39" s="185">
        <f t="shared" si="11"/>
        <v>0</v>
      </c>
      <c r="P39" s="186">
        <f t="shared" si="2"/>
        <v>207</v>
      </c>
      <c r="Q39" s="187">
        <f>I39-P39</f>
        <v>-12</v>
      </c>
      <c r="R39" s="261">
        <f t="shared" ref="R39:W39" si="12">SUM(R9:R36)</f>
        <v>536</v>
      </c>
      <c r="S39" s="185">
        <f t="shared" si="12"/>
        <v>405</v>
      </c>
      <c r="T39" s="185">
        <f t="shared" si="12"/>
        <v>90</v>
      </c>
      <c r="U39" s="185">
        <f t="shared" si="12"/>
        <v>30</v>
      </c>
      <c r="V39" s="185">
        <f t="shared" si="12"/>
        <v>129.75</v>
      </c>
      <c r="W39" s="185">
        <f t="shared" si="12"/>
        <v>0</v>
      </c>
      <c r="X39" s="188">
        <f>ROUND(SUM(S39:W39), 0)</f>
        <v>655</v>
      </c>
      <c r="Y39" s="189">
        <f t="shared" ref="Y39" si="13">R39-X39</f>
        <v>-119</v>
      </c>
      <c r="Z39" s="184">
        <f>SUM(Z9:Z36)</f>
        <v>1</v>
      </c>
      <c r="AA39" s="190">
        <f>SUM(AA9:AA36)</f>
        <v>3.1124999999999998</v>
      </c>
      <c r="AB39" s="190">
        <f>SUM(AB9:AB36)</f>
        <v>0</v>
      </c>
      <c r="AC39" s="191">
        <f t="shared" si="0"/>
        <v>-2.1124999999999998</v>
      </c>
      <c r="AD39" s="184">
        <f>SUM(AD9:AD36)</f>
        <v>0</v>
      </c>
      <c r="AE39" s="184">
        <f>SUM(AE9:AE36)</f>
        <v>0</v>
      </c>
      <c r="AF39" s="184">
        <f>SUM(AF9:AF36)</f>
        <v>0</v>
      </c>
    </row>
    <row r="40" spans="1:32">
      <c r="A40" s="9"/>
      <c r="B40" s="9"/>
      <c r="C40" s="9"/>
      <c r="D40" s="9"/>
      <c r="E40" s="9"/>
      <c r="F40" s="9"/>
      <c r="G40" s="6"/>
      <c r="H40" s="6"/>
      <c r="L40" s="8"/>
      <c r="M40" s="8"/>
      <c r="N40" s="8"/>
      <c r="O40" s="21"/>
      <c r="R40" s="262"/>
      <c r="S40" s="8"/>
      <c r="T40" s="21"/>
    </row>
    <row r="41" spans="1:32">
      <c r="A41" s="9"/>
      <c r="B41" s="9"/>
      <c r="C41" s="9"/>
      <c r="D41" s="9"/>
      <c r="E41" s="9"/>
      <c r="F41" s="9"/>
      <c r="G41" s="6"/>
      <c r="H41" s="6"/>
      <c r="L41" s="8"/>
      <c r="M41" s="8"/>
      <c r="N41" s="8"/>
      <c r="O41" s="21"/>
      <c r="R41" s="8"/>
      <c r="S41" s="8"/>
      <c r="T41" s="21"/>
    </row>
    <row r="42" spans="1:32">
      <c r="A42" s="10"/>
      <c r="B42" s="10"/>
      <c r="C42" s="10"/>
      <c r="D42" s="10"/>
      <c r="E42" s="10"/>
      <c r="F42" s="10"/>
      <c r="G42" s="11"/>
      <c r="H42" s="11"/>
      <c r="L42" s="12"/>
      <c r="M42" s="12"/>
      <c r="N42" s="12"/>
      <c r="O42" s="22"/>
      <c r="R42" s="12"/>
      <c r="S42" s="12"/>
      <c r="T42" s="22"/>
    </row>
    <row r="43" spans="1:32">
      <c r="A43" s="10"/>
      <c r="B43" s="10"/>
      <c r="C43" s="10"/>
      <c r="D43" s="10"/>
      <c r="E43" s="10"/>
      <c r="F43" s="10"/>
      <c r="G43" s="11"/>
      <c r="H43" s="11"/>
      <c r="L43" s="12"/>
      <c r="M43" s="12"/>
      <c r="N43" s="12"/>
      <c r="O43" s="22"/>
      <c r="R43" s="12"/>
      <c r="S43" s="12"/>
      <c r="T43" s="22"/>
    </row>
    <row r="44" spans="1:32">
      <c r="A44" s="10"/>
      <c r="B44" s="10"/>
      <c r="C44" s="10"/>
      <c r="D44" s="10"/>
      <c r="E44" s="10"/>
      <c r="F44" s="10"/>
      <c r="G44" s="11"/>
      <c r="H44" s="11"/>
      <c r="L44" s="12"/>
      <c r="M44" s="12"/>
      <c r="N44" s="12"/>
      <c r="O44" s="22"/>
      <c r="R44" s="12"/>
      <c r="S44" s="12"/>
      <c r="T44" s="22"/>
    </row>
    <row r="45" spans="1:32">
      <c r="A45" s="10"/>
      <c r="B45" s="10"/>
      <c r="C45" s="10"/>
      <c r="D45" s="10"/>
      <c r="E45" s="10"/>
      <c r="F45" s="10"/>
      <c r="G45" s="11"/>
      <c r="H45" s="11"/>
      <c r="L45" s="12"/>
      <c r="M45" s="12"/>
      <c r="N45" s="12"/>
      <c r="O45" s="22"/>
      <c r="R45" s="12"/>
      <c r="S45" s="12"/>
      <c r="T45" s="22"/>
    </row>
    <row r="46" spans="1:32">
      <c r="A46" s="13"/>
      <c r="B46" s="13"/>
      <c r="C46" s="13"/>
      <c r="D46" s="13"/>
      <c r="E46" s="13"/>
      <c r="F46" s="13"/>
    </row>
    <row r="47" spans="1:32">
      <c r="A47" s="13"/>
      <c r="B47" s="13"/>
      <c r="C47" s="13"/>
      <c r="D47" s="13"/>
      <c r="E47" s="13"/>
      <c r="F47" s="13"/>
    </row>
    <row r="48" spans="1:32">
      <c r="A48" s="13"/>
      <c r="B48" s="13"/>
      <c r="C48" s="13"/>
      <c r="D48" s="13"/>
      <c r="E48" s="13"/>
      <c r="F48" s="13"/>
    </row>
    <row r="49" spans="1:6">
      <c r="A49" s="13"/>
      <c r="B49" s="13"/>
      <c r="C49" s="13"/>
      <c r="D49" s="13"/>
      <c r="E49" s="13"/>
      <c r="F49" s="13"/>
    </row>
    <row r="50" spans="1:6">
      <c r="A50" s="13"/>
      <c r="B50" s="13"/>
      <c r="C50" s="13"/>
      <c r="D50" s="13"/>
      <c r="E50" s="13"/>
      <c r="F50" s="13"/>
    </row>
  </sheetData>
  <mergeCells count="23">
    <mergeCell ref="A6:A8"/>
    <mergeCell ref="I6:AC6"/>
    <mergeCell ref="B6:B8"/>
    <mergeCell ref="C6:C8"/>
    <mergeCell ref="I7:I8"/>
    <mergeCell ref="E7:E8"/>
    <mergeCell ref="F7:F8"/>
    <mergeCell ref="G7:G8"/>
    <mergeCell ref="Q7:Q8"/>
    <mergeCell ref="R7:R8"/>
    <mergeCell ref="L7:P7"/>
    <mergeCell ref="S7:X7"/>
    <mergeCell ref="D6:D8"/>
    <mergeCell ref="J7:J8"/>
    <mergeCell ref="H7:H8"/>
    <mergeCell ref="E6:H6"/>
    <mergeCell ref="K7:K8"/>
    <mergeCell ref="AD6:AF7"/>
    <mergeCell ref="AA7:AA8"/>
    <mergeCell ref="AB7:AB8"/>
    <mergeCell ref="Y7:Y8"/>
    <mergeCell ref="Z7:Z8"/>
    <mergeCell ref="AC7:AC8"/>
  </mergeCells>
  <phoneticPr fontId="8" type="noConversion"/>
  <pageMargins left="0.19685039370078741" right="0.19685039370078741" top="0.19685039370078741" bottom="0.19685039370078741" header="0.19685039370078741" footer="0.19685039370078741"/>
  <pageSetup paperSize="9" scale="95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W24"/>
  <sheetViews>
    <sheetView zoomScaleNormal="100" zoomScaleSheetLayoutView="100" workbookViewId="0">
      <selection activeCell="J11" sqref="J11"/>
    </sheetView>
  </sheetViews>
  <sheetFormatPr defaultRowHeight="12.75"/>
  <cols>
    <col min="1" max="1" width="21.5703125" style="15" customWidth="1"/>
    <col min="2" max="2" width="9.140625" style="15"/>
    <col min="3" max="3" width="5.85546875" style="15" customWidth="1"/>
    <col min="4" max="4" width="8" style="15" customWidth="1"/>
    <col min="5" max="5" width="5.85546875" style="14" customWidth="1"/>
    <col min="6" max="7" width="6.28515625" style="14" customWidth="1"/>
    <col min="8" max="8" width="6" style="14" customWidth="1"/>
    <col min="9" max="9" width="5.85546875" style="14" customWidth="1"/>
    <col min="10" max="10" width="6" style="14" customWidth="1"/>
    <col min="11" max="11" width="6.7109375" style="14" customWidth="1"/>
    <col min="12" max="12" width="6.42578125" style="14" customWidth="1"/>
    <col min="13" max="13" width="5.85546875" style="15" customWidth="1"/>
    <col min="14" max="14" width="6.28515625" style="15" customWidth="1"/>
    <col min="15" max="15" width="6.7109375" style="15" customWidth="1"/>
    <col min="16" max="16" width="5.7109375" style="7" customWidth="1"/>
    <col min="17" max="18" width="6.7109375" style="7" customWidth="1"/>
    <col min="19" max="16384" width="9.140625" style="7"/>
  </cols>
  <sheetData>
    <row r="1" spans="1:23" s="3" customFormat="1" ht="15.75">
      <c r="A1" s="69"/>
      <c r="B1" s="70" t="s">
        <v>70</v>
      </c>
      <c r="C1" s="61" t="str">
        <f>Kadar.ode.!C1</f>
        <v>КЛИНИЧКО БОЛНИЧКИ ЦЕНТАР ЗЕМУН-БЕОГРАД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7"/>
      <c r="O1" s="5"/>
      <c r="P1" s="5"/>
      <c r="Q1" s="5"/>
      <c r="R1" s="19"/>
      <c r="S1" s="5"/>
      <c r="T1" s="19"/>
      <c r="W1" s="6"/>
    </row>
    <row r="2" spans="1:23" s="3" customFormat="1" ht="15.75">
      <c r="A2" s="69"/>
      <c r="B2" s="70" t="s">
        <v>71</v>
      </c>
      <c r="C2" s="61" t="str">
        <f>Kadar.ode.!C2</f>
        <v>07030100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7"/>
      <c r="O2" s="5"/>
      <c r="P2" s="5"/>
      <c r="Q2" s="5"/>
      <c r="R2" s="19"/>
      <c r="S2" s="5"/>
      <c r="T2" s="19"/>
      <c r="W2" s="6"/>
    </row>
    <row r="3" spans="1:23" s="3" customFormat="1" ht="15.75">
      <c r="A3" s="69"/>
      <c r="B3" s="70" t="s">
        <v>72</v>
      </c>
      <c r="C3" s="61" t="str">
        <f>Kadar.ode.!C3</f>
        <v>31.12.2019.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7"/>
      <c r="O3" s="5"/>
      <c r="P3" s="5"/>
      <c r="Q3" s="5"/>
      <c r="R3" s="19"/>
      <c r="S3" s="5"/>
      <c r="T3" s="19"/>
      <c r="W3" s="6"/>
    </row>
    <row r="4" spans="1:23" s="3" customFormat="1" ht="15.75">
      <c r="A4" s="69"/>
      <c r="B4" s="70" t="s">
        <v>148</v>
      </c>
      <c r="C4" s="62" t="s">
        <v>110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8"/>
      <c r="O4" s="5"/>
      <c r="P4" s="5"/>
      <c r="Q4" s="5" t="s">
        <v>153</v>
      </c>
      <c r="R4" s="19"/>
      <c r="S4" s="5"/>
      <c r="T4" s="19"/>
      <c r="W4" s="6"/>
    </row>
    <row r="5" spans="1:23" s="3" customFormat="1" ht="10.5" customHeight="1">
      <c r="A5" s="37"/>
      <c r="C5" s="57"/>
      <c r="F5" s="16"/>
      <c r="G5" s="16"/>
      <c r="H5" s="16"/>
      <c r="I5" s="16"/>
      <c r="J5" s="16"/>
      <c r="K5" s="16"/>
      <c r="L5" s="16"/>
      <c r="M5" s="16"/>
      <c r="O5" s="5"/>
      <c r="P5" s="5"/>
      <c r="Q5" s="5"/>
      <c r="R5" s="19"/>
      <c r="S5" s="5"/>
      <c r="T5" s="19"/>
      <c r="W5" s="6"/>
    </row>
    <row r="6" spans="1:23" ht="55.5" customHeight="1">
      <c r="A6" s="304" t="s">
        <v>33</v>
      </c>
      <c r="B6" s="303" t="s">
        <v>78</v>
      </c>
      <c r="C6" s="303" t="s">
        <v>11</v>
      </c>
      <c r="D6" s="303" t="s">
        <v>12</v>
      </c>
      <c r="E6" s="303" t="s">
        <v>80</v>
      </c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 t="s">
        <v>77</v>
      </c>
      <c r="Q6" s="303"/>
      <c r="R6" s="303"/>
    </row>
    <row r="7" spans="1:23" s="24" customFormat="1" ht="88.5" customHeight="1">
      <c r="A7" s="304"/>
      <c r="B7" s="303"/>
      <c r="C7" s="303"/>
      <c r="D7" s="303"/>
      <c r="E7" s="42" t="s">
        <v>62</v>
      </c>
      <c r="F7" s="91" t="s">
        <v>73</v>
      </c>
      <c r="G7" s="91" t="s">
        <v>74</v>
      </c>
      <c r="H7" s="42" t="s">
        <v>88</v>
      </c>
      <c r="I7" s="42" t="s">
        <v>89</v>
      </c>
      <c r="J7" s="42" t="s">
        <v>81</v>
      </c>
      <c r="K7" s="42" t="s">
        <v>82</v>
      </c>
      <c r="L7" s="42" t="s">
        <v>83</v>
      </c>
      <c r="M7" s="42" t="s">
        <v>63</v>
      </c>
      <c r="N7" s="42" t="s">
        <v>84</v>
      </c>
      <c r="O7" s="42" t="s">
        <v>85</v>
      </c>
      <c r="P7" s="42" t="s">
        <v>57</v>
      </c>
      <c r="Q7" s="42" t="s">
        <v>58</v>
      </c>
      <c r="R7" s="42" t="s">
        <v>59</v>
      </c>
    </row>
    <row r="8" spans="1:23" ht="12" customHeight="1" thickBot="1">
      <c r="A8" s="45" t="s">
        <v>61</v>
      </c>
      <c r="B8" s="192">
        <v>23</v>
      </c>
      <c r="C8" s="192">
        <v>3</v>
      </c>
      <c r="D8" s="192">
        <v>17050</v>
      </c>
      <c r="E8" s="263">
        <v>4</v>
      </c>
      <c r="F8" s="47">
        <v>0</v>
      </c>
      <c r="G8" s="47">
        <v>4</v>
      </c>
      <c r="H8" s="193">
        <f>ROUND(D8/3400, 0)</f>
        <v>5</v>
      </c>
      <c r="I8" s="117">
        <f t="shared" ref="I8:I9" si="0">E8-H8</f>
        <v>-1</v>
      </c>
      <c r="J8" s="47">
        <v>22</v>
      </c>
      <c r="K8" s="193">
        <f>H8*4</f>
        <v>20</v>
      </c>
      <c r="L8" s="117">
        <f t="shared" ref="L8:L9" si="1">J8-K8</f>
        <v>2</v>
      </c>
      <c r="M8" s="47"/>
      <c r="N8" s="194"/>
      <c r="O8" s="111">
        <f t="shared" ref="O8:O9" si="2">M8-N8</f>
        <v>0</v>
      </c>
      <c r="P8" s="48"/>
      <c r="Q8" s="48"/>
      <c r="R8" s="48"/>
    </row>
    <row r="9" spans="1:23" ht="12" customHeight="1">
      <c r="A9" s="195" t="s">
        <v>187</v>
      </c>
      <c r="B9" s="192">
        <v>38</v>
      </c>
      <c r="C9" s="196">
        <v>2</v>
      </c>
      <c r="D9" s="192"/>
      <c r="E9" s="197"/>
      <c r="F9" s="197"/>
      <c r="G9" s="47"/>
      <c r="H9" s="198">
        <v>8</v>
      </c>
      <c r="I9" s="117">
        <f t="shared" si="0"/>
        <v>-8</v>
      </c>
      <c r="J9" s="47"/>
      <c r="K9" s="194">
        <f>H9*2</f>
        <v>16</v>
      </c>
      <c r="L9" s="117">
        <f t="shared" si="1"/>
        <v>-16</v>
      </c>
      <c r="M9" s="47"/>
      <c r="N9" s="194"/>
      <c r="O9" s="111">
        <f t="shared" si="2"/>
        <v>0</v>
      </c>
      <c r="P9" s="48"/>
      <c r="Q9" s="48"/>
      <c r="R9" s="48"/>
    </row>
    <row r="10" spans="1:23" ht="12" customHeight="1">
      <c r="A10" s="71"/>
      <c r="B10" s="45"/>
      <c r="C10" s="45"/>
      <c r="D10" s="45"/>
      <c r="E10" s="38"/>
      <c r="F10" s="47"/>
      <c r="G10" s="47"/>
      <c r="H10" s="41"/>
      <c r="I10" s="46">
        <f t="shared" ref="I10:I17" si="3">E10-H10</f>
        <v>0</v>
      </c>
      <c r="J10" s="47"/>
      <c r="K10" s="41"/>
      <c r="L10" s="46">
        <f t="shared" ref="L10:L17" si="4">J10-K10</f>
        <v>0</v>
      </c>
      <c r="M10" s="38"/>
      <c r="N10" s="41"/>
      <c r="O10" s="46">
        <f t="shared" ref="O10:O17" si="5">M10-N10</f>
        <v>0</v>
      </c>
      <c r="P10" s="48"/>
      <c r="Q10" s="48"/>
      <c r="R10" s="48"/>
    </row>
    <row r="11" spans="1:23" ht="12" customHeight="1">
      <c r="A11" s="45"/>
      <c r="B11" s="45"/>
      <c r="C11" s="45"/>
      <c r="D11" s="45"/>
      <c r="E11" s="45"/>
      <c r="F11" s="92"/>
      <c r="G11" s="92"/>
      <c r="H11" s="41"/>
      <c r="I11" s="46">
        <f t="shared" si="3"/>
        <v>0</v>
      </c>
      <c r="J11" s="45"/>
      <c r="K11" s="41"/>
      <c r="L11" s="46">
        <f t="shared" si="4"/>
        <v>0</v>
      </c>
      <c r="M11" s="45"/>
      <c r="N11" s="41"/>
      <c r="O11" s="46">
        <f t="shared" si="5"/>
        <v>0</v>
      </c>
      <c r="P11" s="48"/>
      <c r="Q11" s="48"/>
      <c r="R11" s="48"/>
    </row>
    <row r="12" spans="1:23" ht="12" customHeight="1">
      <c r="A12" s="45"/>
      <c r="B12" s="45"/>
      <c r="C12" s="45"/>
      <c r="D12" s="45"/>
      <c r="E12" s="45"/>
      <c r="F12" s="92"/>
      <c r="G12" s="92"/>
      <c r="H12" s="41"/>
      <c r="I12" s="46">
        <f t="shared" si="3"/>
        <v>0</v>
      </c>
      <c r="J12" s="45"/>
      <c r="K12" s="41"/>
      <c r="L12" s="46">
        <f t="shared" si="4"/>
        <v>0</v>
      </c>
      <c r="M12" s="45"/>
      <c r="N12" s="41"/>
      <c r="O12" s="46">
        <f t="shared" si="5"/>
        <v>0</v>
      </c>
      <c r="P12" s="48"/>
      <c r="Q12" s="48"/>
      <c r="R12" s="48"/>
    </row>
    <row r="13" spans="1:23" ht="12" customHeight="1">
      <c r="A13" s="45"/>
      <c r="B13" s="45"/>
      <c r="C13" s="45"/>
      <c r="D13" s="45"/>
      <c r="E13" s="45"/>
      <c r="F13" s="92"/>
      <c r="G13" s="92"/>
      <c r="H13" s="41"/>
      <c r="I13" s="46">
        <f t="shared" si="3"/>
        <v>0</v>
      </c>
      <c r="J13" s="45"/>
      <c r="K13" s="41"/>
      <c r="L13" s="46">
        <f t="shared" si="4"/>
        <v>0</v>
      </c>
      <c r="M13" s="45"/>
      <c r="N13" s="41"/>
      <c r="O13" s="46">
        <f t="shared" si="5"/>
        <v>0</v>
      </c>
      <c r="P13" s="48"/>
      <c r="Q13" s="48"/>
      <c r="R13" s="48"/>
    </row>
    <row r="14" spans="1:23" ht="12" customHeight="1">
      <c r="A14" s="45"/>
      <c r="B14" s="45"/>
      <c r="C14" s="45"/>
      <c r="D14" s="45"/>
      <c r="E14" s="45"/>
      <c r="F14" s="92"/>
      <c r="G14" s="92"/>
      <c r="H14" s="41"/>
      <c r="I14" s="46">
        <f t="shared" si="3"/>
        <v>0</v>
      </c>
      <c r="J14" s="45"/>
      <c r="K14" s="41"/>
      <c r="L14" s="46">
        <f t="shared" si="4"/>
        <v>0</v>
      </c>
      <c r="M14" s="45"/>
      <c r="N14" s="41"/>
      <c r="O14" s="46">
        <f t="shared" si="5"/>
        <v>0</v>
      </c>
      <c r="P14" s="48"/>
      <c r="Q14" s="48"/>
      <c r="R14" s="48"/>
    </row>
    <row r="15" spans="1:23" ht="12" customHeight="1">
      <c r="A15" s="45"/>
      <c r="B15" s="45"/>
      <c r="C15" s="45"/>
      <c r="D15" s="45"/>
      <c r="E15" s="45"/>
      <c r="F15" s="92"/>
      <c r="G15" s="92"/>
      <c r="H15" s="41"/>
      <c r="I15" s="46">
        <f t="shared" si="3"/>
        <v>0</v>
      </c>
      <c r="J15" s="45"/>
      <c r="K15" s="41"/>
      <c r="L15" s="46">
        <f t="shared" si="4"/>
        <v>0</v>
      </c>
      <c r="M15" s="45"/>
      <c r="N15" s="41"/>
      <c r="O15" s="46">
        <f t="shared" si="5"/>
        <v>0</v>
      </c>
      <c r="P15" s="48"/>
      <c r="Q15" s="48"/>
      <c r="R15" s="48"/>
    </row>
    <row r="16" spans="1:23" ht="12" customHeight="1">
      <c r="A16" s="45"/>
      <c r="B16" s="45"/>
      <c r="C16" s="45"/>
      <c r="D16" s="45"/>
      <c r="E16" s="45"/>
      <c r="F16" s="92"/>
      <c r="G16" s="92"/>
      <c r="H16" s="41"/>
      <c r="I16" s="46">
        <f t="shared" si="3"/>
        <v>0</v>
      </c>
      <c r="J16" s="45"/>
      <c r="K16" s="41"/>
      <c r="L16" s="46">
        <f t="shared" si="4"/>
        <v>0</v>
      </c>
      <c r="M16" s="45"/>
      <c r="N16" s="41"/>
      <c r="O16" s="46">
        <f t="shared" si="5"/>
        <v>0</v>
      </c>
      <c r="P16" s="48"/>
      <c r="Q16" s="48"/>
      <c r="R16" s="48"/>
    </row>
    <row r="17" spans="1:18" ht="12" customHeight="1">
      <c r="A17" s="45"/>
      <c r="B17" s="45"/>
      <c r="C17" s="45"/>
      <c r="D17" s="45"/>
      <c r="E17" s="45"/>
      <c r="F17" s="92"/>
      <c r="G17" s="92"/>
      <c r="H17" s="41"/>
      <c r="I17" s="46">
        <f t="shared" si="3"/>
        <v>0</v>
      </c>
      <c r="J17" s="45"/>
      <c r="K17" s="41"/>
      <c r="L17" s="46">
        <f t="shared" si="4"/>
        <v>0</v>
      </c>
      <c r="M17" s="45"/>
      <c r="N17" s="41"/>
      <c r="O17" s="46">
        <f t="shared" si="5"/>
        <v>0</v>
      </c>
      <c r="P17" s="48"/>
      <c r="Q17" s="48"/>
      <c r="R17" s="48"/>
    </row>
    <row r="18" spans="1:18" s="25" customFormat="1" ht="23.25" customHeight="1">
      <c r="A18" s="83" t="s">
        <v>0</v>
      </c>
      <c r="B18" s="83"/>
      <c r="C18" s="83"/>
      <c r="D18" s="83"/>
      <c r="E18" s="83">
        <f t="shared" ref="E18:R18" si="6">SUM(E8:E17)</f>
        <v>4</v>
      </c>
      <c r="F18" s="83">
        <f t="shared" si="6"/>
        <v>0</v>
      </c>
      <c r="G18" s="83">
        <f t="shared" si="6"/>
        <v>4</v>
      </c>
      <c r="H18" s="83">
        <f t="shared" si="6"/>
        <v>13</v>
      </c>
      <c r="I18" s="83">
        <f t="shared" si="6"/>
        <v>-9</v>
      </c>
      <c r="J18" s="83">
        <f t="shared" si="6"/>
        <v>22</v>
      </c>
      <c r="K18" s="83">
        <f t="shared" si="6"/>
        <v>36</v>
      </c>
      <c r="L18" s="83">
        <f t="shared" si="6"/>
        <v>-14</v>
      </c>
      <c r="M18" s="83">
        <f t="shared" si="6"/>
        <v>0</v>
      </c>
      <c r="N18" s="83">
        <f t="shared" si="6"/>
        <v>0</v>
      </c>
      <c r="O18" s="83">
        <f t="shared" si="6"/>
        <v>0</v>
      </c>
      <c r="P18" s="83">
        <f t="shared" si="6"/>
        <v>0</v>
      </c>
      <c r="Q18" s="83">
        <f t="shared" si="6"/>
        <v>0</v>
      </c>
      <c r="R18" s="83">
        <f t="shared" si="6"/>
        <v>0</v>
      </c>
    </row>
    <row r="19" spans="1:18">
      <c r="A19" s="44" t="s">
        <v>79</v>
      </c>
    </row>
    <row r="20" spans="1:18" s="18" customFormat="1" ht="27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1" spans="1:18" s="18" customFormat="1" ht="17.25" customHeight="1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1:18">
      <c r="A22" s="39"/>
      <c r="B22" s="39"/>
      <c r="C22" s="39"/>
      <c r="D22" s="39"/>
      <c r="E22" s="40"/>
      <c r="F22" s="40"/>
      <c r="G22" s="40"/>
      <c r="H22" s="40"/>
      <c r="I22" s="40"/>
      <c r="J22" s="40"/>
      <c r="K22" s="40"/>
      <c r="L22" s="40"/>
      <c r="M22" s="39"/>
      <c r="N22" s="39"/>
      <c r="O22" s="39"/>
      <c r="R22" s="35"/>
    </row>
    <row r="23" spans="1:18">
      <c r="A23" s="39"/>
      <c r="B23" s="39"/>
      <c r="C23" s="39"/>
      <c r="D23" s="39"/>
      <c r="E23" s="40"/>
      <c r="F23" s="40"/>
      <c r="G23" s="40"/>
      <c r="H23" s="40"/>
      <c r="I23" s="40"/>
      <c r="J23" s="40"/>
      <c r="K23" s="40"/>
      <c r="L23" s="40"/>
      <c r="M23" s="39"/>
      <c r="N23" s="39"/>
      <c r="O23" s="39"/>
    </row>
    <row r="24" spans="1:18">
      <c r="A24" s="39"/>
      <c r="B24" s="39"/>
      <c r="C24" s="39"/>
      <c r="D24" s="39"/>
      <c r="E24" s="40"/>
      <c r="F24" s="40"/>
      <c r="G24" s="40"/>
      <c r="H24" s="40"/>
      <c r="I24" s="40"/>
      <c r="J24" s="40"/>
      <c r="K24" s="40"/>
      <c r="L24" s="40"/>
      <c r="M24" s="39"/>
      <c r="N24" s="39"/>
      <c r="O24" s="39"/>
    </row>
  </sheetData>
  <mergeCells count="6">
    <mergeCell ref="P6:R6"/>
    <mergeCell ref="C6:C7"/>
    <mergeCell ref="D6:D7"/>
    <mergeCell ref="A6:A7"/>
    <mergeCell ref="B6:B7"/>
    <mergeCell ref="E6:O6"/>
  </mergeCells>
  <phoneticPr fontId="8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W24"/>
  <sheetViews>
    <sheetView zoomScaleNormal="100" zoomScaleSheetLayoutView="100" workbookViewId="0">
      <selection activeCell="O14" sqref="O14"/>
    </sheetView>
  </sheetViews>
  <sheetFormatPr defaultRowHeight="15.75"/>
  <cols>
    <col min="1" max="1" width="30.42578125" style="3" customWidth="1"/>
    <col min="2" max="2" width="8" style="6" customWidth="1"/>
    <col min="3" max="3" width="5" style="6" customWidth="1"/>
    <col min="4" max="8" width="5.28515625" style="6" customWidth="1"/>
    <col min="9" max="9" width="5.28515625" style="8" customWidth="1"/>
    <col min="10" max="10" width="4.5703125" style="8" customWidth="1"/>
    <col min="11" max="11" width="4.85546875" style="3" customWidth="1"/>
    <col min="12" max="12" width="5.28515625" style="6" customWidth="1"/>
    <col min="13" max="14" width="5.28515625" style="3" customWidth="1"/>
    <col min="15" max="15" width="4.7109375" style="3" customWidth="1"/>
    <col min="16" max="16" width="4.85546875" style="3" customWidth="1"/>
    <col min="17" max="23" width="5.28515625" style="3" customWidth="1"/>
    <col min="24" max="16384" width="9.140625" style="3"/>
  </cols>
  <sheetData>
    <row r="1" spans="1:23">
      <c r="A1" s="69"/>
      <c r="B1" s="70" t="s">
        <v>70</v>
      </c>
      <c r="C1" s="61" t="str">
        <f>Kadar.ode.!C1</f>
        <v>КЛИНИЧКО БОЛНИЧКИ ЦЕНТАР ЗЕМУН-БЕОГРАД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7"/>
    </row>
    <row r="2" spans="1:23">
      <c r="A2" s="69"/>
      <c r="B2" s="70" t="s">
        <v>71</v>
      </c>
      <c r="C2" s="61" t="str">
        <f>Kadar.ode.!C2</f>
        <v>07030100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7"/>
    </row>
    <row r="3" spans="1:23">
      <c r="A3" s="69"/>
      <c r="B3" s="70" t="s">
        <v>72</v>
      </c>
      <c r="C3" s="61" t="str">
        <f>Kadar.ode.!C3</f>
        <v>31.12.2019.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7"/>
    </row>
    <row r="4" spans="1:23">
      <c r="A4" s="69"/>
      <c r="B4" s="70" t="s">
        <v>149</v>
      </c>
      <c r="C4" s="62" t="s">
        <v>111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8"/>
      <c r="V4" s="3" t="s">
        <v>154</v>
      </c>
    </row>
    <row r="5" spans="1:23" ht="9" customHeight="1">
      <c r="A5" s="37"/>
      <c r="B5" s="3"/>
      <c r="C5" s="36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3" ht="45.75" customHeight="1">
      <c r="A6" s="306" t="s">
        <v>108</v>
      </c>
      <c r="B6" s="307" t="s">
        <v>13</v>
      </c>
      <c r="C6" s="291" t="s">
        <v>69</v>
      </c>
      <c r="D6" s="305" t="s">
        <v>80</v>
      </c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 t="s">
        <v>77</v>
      </c>
      <c r="U6" s="305"/>
      <c r="V6" s="305"/>
      <c r="W6" s="305"/>
    </row>
    <row r="7" spans="1:23" s="26" customFormat="1" ht="66" customHeight="1">
      <c r="A7" s="306"/>
      <c r="B7" s="307"/>
      <c r="C7" s="291"/>
      <c r="D7" s="74" t="s">
        <v>62</v>
      </c>
      <c r="E7" s="74" t="s">
        <v>90</v>
      </c>
      <c r="F7" s="84" t="s">
        <v>73</v>
      </c>
      <c r="G7" s="84" t="s">
        <v>74</v>
      </c>
      <c r="H7" s="74" t="s">
        <v>113</v>
      </c>
      <c r="I7" s="75" t="s">
        <v>36</v>
      </c>
      <c r="J7" s="84" t="s">
        <v>114</v>
      </c>
      <c r="K7" s="76" t="s">
        <v>43</v>
      </c>
      <c r="L7" s="76" t="s">
        <v>91</v>
      </c>
      <c r="M7" s="76" t="s">
        <v>113</v>
      </c>
      <c r="N7" s="75" t="s">
        <v>36</v>
      </c>
      <c r="O7" s="84" t="s">
        <v>114</v>
      </c>
      <c r="P7" s="74" t="s">
        <v>43</v>
      </c>
      <c r="Q7" s="77" t="s">
        <v>92</v>
      </c>
      <c r="R7" s="77" t="s">
        <v>60</v>
      </c>
      <c r="S7" s="77" t="s">
        <v>10</v>
      </c>
      <c r="T7" s="74" t="s">
        <v>57</v>
      </c>
      <c r="U7" s="74" t="s">
        <v>107</v>
      </c>
      <c r="V7" s="74" t="s">
        <v>64</v>
      </c>
      <c r="W7" s="74" t="s">
        <v>59</v>
      </c>
    </row>
    <row r="8" spans="1:23">
      <c r="A8" s="72" t="s">
        <v>14</v>
      </c>
      <c r="B8" s="182">
        <v>640</v>
      </c>
      <c r="C8" s="182"/>
      <c r="D8" s="264">
        <v>7</v>
      </c>
      <c r="E8" s="199"/>
      <c r="F8" s="199"/>
      <c r="G8" s="199"/>
      <c r="H8" s="200">
        <f>ROUND(B8/70+1, 0)</f>
        <v>10</v>
      </c>
      <c r="I8" s="113"/>
      <c r="J8" s="201">
        <f>SUM(H8:I8)</f>
        <v>10</v>
      </c>
      <c r="K8" s="201">
        <f t="shared" ref="K8:K21" si="0">D8-(H8+I8)</f>
        <v>-3</v>
      </c>
      <c r="L8" s="47">
        <v>13</v>
      </c>
      <c r="M8" s="202">
        <f>H8*2+2</f>
        <v>22</v>
      </c>
      <c r="N8" s="113"/>
      <c r="O8" s="202">
        <f>M8+N8</f>
        <v>22</v>
      </c>
      <c r="P8" s="110">
        <f t="shared" ref="P8:P21" si="1">L8-(M8+N8)</f>
        <v>-9</v>
      </c>
      <c r="Q8" s="265"/>
      <c r="R8" s="203"/>
      <c r="S8" s="110">
        <f>Q8-R8</f>
        <v>0</v>
      </c>
      <c r="T8" s="52"/>
      <c r="U8" s="52"/>
      <c r="V8" s="52"/>
      <c r="W8" s="52"/>
    </row>
    <row r="9" spans="1:23">
      <c r="A9" s="72" t="s">
        <v>15</v>
      </c>
      <c r="B9" s="182"/>
      <c r="C9" s="182"/>
      <c r="D9" s="264">
        <v>3</v>
      </c>
      <c r="E9" s="199"/>
      <c r="F9" s="199"/>
      <c r="G9" s="199"/>
      <c r="H9" s="202">
        <v>3</v>
      </c>
      <c r="I9" s="113"/>
      <c r="J9" s="194">
        <f t="shared" ref="J9:J21" si="2">SUM(H9:I9)</f>
        <v>3</v>
      </c>
      <c r="K9" s="194">
        <f t="shared" si="0"/>
        <v>0</v>
      </c>
      <c r="L9" s="47">
        <v>20</v>
      </c>
      <c r="M9" s="202">
        <v>6</v>
      </c>
      <c r="N9" s="113"/>
      <c r="O9" s="202">
        <f t="shared" ref="O9:O21" si="3">M9+N9</f>
        <v>6</v>
      </c>
      <c r="P9" s="110">
        <f t="shared" si="1"/>
        <v>14</v>
      </c>
      <c r="Q9" s="265"/>
      <c r="R9" s="203"/>
      <c r="S9" s="110">
        <f t="shared" ref="S9:S21" si="4">Q9-R9</f>
        <v>0</v>
      </c>
      <c r="T9" s="52"/>
      <c r="U9" s="52"/>
      <c r="V9" s="52"/>
      <c r="W9" s="52"/>
    </row>
    <row r="10" spans="1:23">
      <c r="A10" s="72" t="s">
        <v>16</v>
      </c>
      <c r="B10" s="182"/>
      <c r="C10" s="182"/>
      <c r="D10" s="263">
        <v>7</v>
      </c>
      <c r="E10" s="47"/>
      <c r="F10" s="47"/>
      <c r="G10" s="47"/>
      <c r="H10" s="202"/>
      <c r="I10" s="113"/>
      <c r="J10" s="194">
        <f t="shared" si="2"/>
        <v>0</v>
      </c>
      <c r="K10" s="194">
        <f t="shared" si="0"/>
        <v>7</v>
      </c>
      <c r="L10" s="47">
        <v>5</v>
      </c>
      <c r="M10" s="202"/>
      <c r="N10" s="113"/>
      <c r="O10" s="202">
        <f t="shared" si="3"/>
        <v>0</v>
      </c>
      <c r="P10" s="110">
        <f t="shared" si="1"/>
        <v>5</v>
      </c>
      <c r="Q10" s="265"/>
      <c r="R10" s="203"/>
      <c r="S10" s="110">
        <f t="shared" si="4"/>
        <v>0</v>
      </c>
      <c r="T10" s="52"/>
      <c r="U10" s="52"/>
      <c r="V10" s="52"/>
      <c r="W10" s="52"/>
    </row>
    <row r="11" spans="1:23" ht="24">
      <c r="A11" s="72" t="s">
        <v>17</v>
      </c>
      <c r="B11" s="224">
        <v>865677</v>
      </c>
      <c r="C11" s="182"/>
      <c r="D11" s="210">
        <v>0</v>
      </c>
      <c r="E11" s="205">
        <v>4</v>
      </c>
      <c r="F11" s="204">
        <v>2</v>
      </c>
      <c r="G11" s="205"/>
      <c r="H11" s="202">
        <f>ROUND(B11/120000, 0)</f>
        <v>7</v>
      </c>
      <c r="I11" s="113"/>
      <c r="J11" s="201">
        <f t="shared" si="2"/>
        <v>7</v>
      </c>
      <c r="K11" s="201">
        <f>(D11+E11)-(H11+I11)</f>
        <v>-3</v>
      </c>
      <c r="L11" s="199">
        <v>26</v>
      </c>
      <c r="M11" s="206">
        <f>H11*6</f>
        <v>42</v>
      </c>
      <c r="N11" s="113"/>
      <c r="O11" s="202">
        <f t="shared" si="3"/>
        <v>42</v>
      </c>
      <c r="P11" s="110">
        <f t="shared" si="1"/>
        <v>-16</v>
      </c>
      <c r="Q11" s="265"/>
      <c r="R11" s="203"/>
      <c r="S11" s="110">
        <f t="shared" si="4"/>
        <v>0</v>
      </c>
      <c r="T11" s="52"/>
      <c r="U11" s="52"/>
      <c r="V11" s="52"/>
      <c r="W11" s="52"/>
    </row>
    <row r="12" spans="1:23">
      <c r="A12" s="72" t="s">
        <v>18</v>
      </c>
      <c r="B12" s="182">
        <v>640</v>
      </c>
      <c r="C12" s="182"/>
      <c r="D12" s="271">
        <v>2</v>
      </c>
      <c r="E12" s="204"/>
      <c r="F12" s="204"/>
      <c r="G12" s="204"/>
      <c r="H12" s="202">
        <f>ROUND(B12/300, 0)</f>
        <v>2</v>
      </c>
      <c r="I12" s="113"/>
      <c r="J12" s="194">
        <f t="shared" si="2"/>
        <v>2</v>
      </c>
      <c r="K12" s="194">
        <f t="shared" si="0"/>
        <v>0</v>
      </c>
      <c r="L12" s="199">
        <v>4</v>
      </c>
      <c r="M12" s="202">
        <f>H12*2</f>
        <v>4</v>
      </c>
      <c r="N12" s="113"/>
      <c r="O12" s="202">
        <f t="shared" si="3"/>
        <v>4</v>
      </c>
      <c r="P12" s="110">
        <f t="shared" si="1"/>
        <v>0</v>
      </c>
      <c r="Q12" s="265"/>
      <c r="R12" s="203"/>
      <c r="S12" s="110">
        <f t="shared" si="4"/>
        <v>0</v>
      </c>
      <c r="T12" s="52"/>
      <c r="U12" s="52"/>
      <c r="V12" s="52"/>
      <c r="W12" s="52"/>
    </row>
    <row r="13" spans="1:23" ht="24">
      <c r="A13" s="72" t="s">
        <v>19</v>
      </c>
      <c r="B13" s="182">
        <v>640</v>
      </c>
      <c r="C13" s="182"/>
      <c r="D13" s="210">
        <v>7</v>
      </c>
      <c r="E13" s="199"/>
      <c r="F13" s="204">
        <v>1</v>
      </c>
      <c r="G13" s="204"/>
      <c r="H13" s="202">
        <f>ROUND(B13/150+2, 0)</f>
        <v>6</v>
      </c>
      <c r="I13" s="113"/>
      <c r="J13" s="201">
        <f t="shared" si="2"/>
        <v>6</v>
      </c>
      <c r="K13" s="201">
        <f t="shared" si="0"/>
        <v>1</v>
      </c>
      <c r="L13" s="207">
        <v>9</v>
      </c>
      <c r="M13" s="202">
        <f>H13*2</f>
        <v>12</v>
      </c>
      <c r="N13" s="113"/>
      <c r="O13" s="202">
        <f t="shared" si="3"/>
        <v>12</v>
      </c>
      <c r="P13" s="110">
        <f t="shared" si="1"/>
        <v>-3</v>
      </c>
      <c r="Q13" s="265"/>
      <c r="R13" s="203"/>
      <c r="S13" s="110">
        <f t="shared" si="4"/>
        <v>0</v>
      </c>
      <c r="T13" s="52"/>
      <c r="U13" s="52"/>
      <c r="V13" s="52"/>
      <c r="W13" s="52"/>
    </row>
    <row r="14" spans="1:23">
      <c r="A14" s="72" t="s">
        <v>20</v>
      </c>
      <c r="B14" s="182">
        <v>271</v>
      </c>
      <c r="C14" s="182"/>
      <c r="D14" s="210">
        <v>20</v>
      </c>
      <c r="E14" s="204"/>
      <c r="F14" s="204">
        <v>3</v>
      </c>
      <c r="G14" s="204"/>
      <c r="H14" s="202">
        <f>ROUND(B14/16+3, 0)</f>
        <v>20</v>
      </c>
      <c r="I14" s="113"/>
      <c r="J14" s="201">
        <f t="shared" si="2"/>
        <v>20</v>
      </c>
      <c r="K14" s="201">
        <f t="shared" si="0"/>
        <v>0</v>
      </c>
      <c r="L14" s="47">
        <v>17</v>
      </c>
      <c r="M14" s="202">
        <f>H14*2</f>
        <v>40</v>
      </c>
      <c r="N14" s="113"/>
      <c r="O14" s="202">
        <f t="shared" si="3"/>
        <v>40</v>
      </c>
      <c r="P14" s="110">
        <f t="shared" si="1"/>
        <v>-23</v>
      </c>
      <c r="Q14" s="265"/>
      <c r="R14" s="203"/>
      <c r="S14" s="110">
        <f t="shared" si="4"/>
        <v>0</v>
      </c>
      <c r="T14" s="52"/>
      <c r="U14" s="52"/>
      <c r="V14" s="52"/>
      <c r="W14" s="52"/>
    </row>
    <row r="15" spans="1:23">
      <c r="A15" s="72" t="s">
        <v>21</v>
      </c>
      <c r="B15" s="182">
        <v>640</v>
      </c>
      <c r="C15" s="182"/>
      <c r="D15" s="210">
        <v>6</v>
      </c>
      <c r="E15" s="204"/>
      <c r="F15" s="204"/>
      <c r="G15" s="204"/>
      <c r="H15" s="202">
        <f>ROUND(B15/200+5, 0)</f>
        <v>8</v>
      </c>
      <c r="I15" s="113"/>
      <c r="J15" s="194">
        <f t="shared" si="2"/>
        <v>8</v>
      </c>
      <c r="K15" s="194">
        <f t="shared" si="0"/>
        <v>-2</v>
      </c>
      <c r="L15" s="47">
        <v>23</v>
      </c>
      <c r="M15" s="202">
        <f>H15*3</f>
        <v>24</v>
      </c>
      <c r="N15" s="113"/>
      <c r="O15" s="202">
        <f t="shared" si="3"/>
        <v>24</v>
      </c>
      <c r="P15" s="110">
        <f t="shared" si="1"/>
        <v>-1</v>
      </c>
      <c r="Q15" s="265"/>
      <c r="R15" s="203"/>
      <c r="S15" s="110">
        <f t="shared" si="4"/>
        <v>0</v>
      </c>
      <c r="T15" s="52"/>
      <c r="U15" s="52"/>
      <c r="V15" s="52"/>
      <c r="W15" s="52"/>
    </row>
    <row r="16" spans="1:23">
      <c r="A16" s="72" t="s">
        <v>22</v>
      </c>
      <c r="B16" s="182"/>
      <c r="C16" s="182"/>
      <c r="D16" s="210"/>
      <c r="E16" s="204"/>
      <c r="F16" s="204"/>
      <c r="G16" s="204"/>
      <c r="H16" s="202"/>
      <c r="I16" s="113"/>
      <c r="J16" s="194">
        <f t="shared" si="2"/>
        <v>0</v>
      </c>
      <c r="K16" s="194">
        <f t="shared" si="0"/>
        <v>0</v>
      </c>
      <c r="L16" s="47"/>
      <c r="M16" s="202"/>
      <c r="N16" s="113"/>
      <c r="O16" s="202">
        <f t="shared" si="3"/>
        <v>0</v>
      </c>
      <c r="P16" s="110">
        <f t="shared" si="1"/>
        <v>0</v>
      </c>
      <c r="Q16" s="265"/>
      <c r="R16" s="203"/>
      <c r="S16" s="110">
        <f t="shared" si="4"/>
        <v>0</v>
      </c>
      <c r="T16" s="52"/>
      <c r="U16" s="52"/>
      <c r="V16" s="52"/>
      <c r="W16" s="52"/>
    </row>
    <row r="17" spans="1:23" ht="24">
      <c r="A17" s="72" t="s">
        <v>23</v>
      </c>
      <c r="B17" s="182">
        <v>640</v>
      </c>
      <c r="C17" s="182"/>
      <c r="D17" s="210">
        <v>7</v>
      </c>
      <c r="E17" s="204"/>
      <c r="F17" s="204"/>
      <c r="G17" s="204"/>
      <c r="H17" s="206">
        <f>ROUND(B17/150, 0)</f>
        <v>4</v>
      </c>
      <c r="I17" s="113"/>
      <c r="J17" s="208">
        <f t="shared" si="2"/>
        <v>4</v>
      </c>
      <c r="K17" s="201">
        <f t="shared" si="0"/>
        <v>3</v>
      </c>
      <c r="L17" s="47">
        <v>20</v>
      </c>
      <c r="M17" s="206">
        <f>B17/150*5</f>
        <v>21.333333333333332</v>
      </c>
      <c r="N17" s="113"/>
      <c r="O17" s="202">
        <f t="shared" si="3"/>
        <v>21.333333333333332</v>
      </c>
      <c r="P17" s="110">
        <f t="shared" si="1"/>
        <v>-1.3333333333333321</v>
      </c>
      <c r="Q17" s="265"/>
      <c r="R17" s="203"/>
      <c r="S17" s="110">
        <f t="shared" si="4"/>
        <v>0</v>
      </c>
      <c r="T17" s="52"/>
      <c r="U17" s="52"/>
      <c r="V17" s="52"/>
      <c r="W17" s="52"/>
    </row>
    <row r="18" spans="1:23" ht="24">
      <c r="A18" s="72" t="s">
        <v>24</v>
      </c>
      <c r="B18" s="182">
        <v>640</v>
      </c>
      <c r="C18" s="182"/>
      <c r="D18" s="210"/>
      <c r="E18" s="205">
        <v>3</v>
      </c>
      <c r="F18" s="204"/>
      <c r="G18" s="204"/>
      <c r="H18" s="209">
        <f>ROUND(B18/200, 0)</f>
        <v>3</v>
      </c>
      <c r="I18" s="113"/>
      <c r="J18" s="194">
        <f t="shared" si="2"/>
        <v>3</v>
      </c>
      <c r="K18" s="194">
        <f>E18-(H18+I18)</f>
        <v>0</v>
      </c>
      <c r="L18" s="47">
        <v>4</v>
      </c>
      <c r="M18" s="202">
        <f>ROUND(B18/200, 0)</f>
        <v>3</v>
      </c>
      <c r="N18" s="113"/>
      <c r="O18" s="202">
        <f t="shared" si="3"/>
        <v>3</v>
      </c>
      <c r="P18" s="110">
        <f t="shared" si="1"/>
        <v>1</v>
      </c>
      <c r="Q18" s="265"/>
      <c r="R18" s="203"/>
      <c r="S18" s="110">
        <f t="shared" si="4"/>
        <v>0</v>
      </c>
      <c r="T18" s="52"/>
      <c r="U18" s="52"/>
      <c r="V18" s="52"/>
      <c r="W18" s="52"/>
    </row>
    <row r="19" spans="1:23">
      <c r="A19" s="72" t="s">
        <v>65</v>
      </c>
      <c r="B19" s="182"/>
      <c r="C19" s="182"/>
      <c r="D19" s="210">
        <v>1</v>
      </c>
      <c r="E19" s="204"/>
      <c r="F19" s="204"/>
      <c r="G19" s="204"/>
      <c r="H19" s="202">
        <v>2</v>
      </c>
      <c r="I19" s="113"/>
      <c r="J19" s="194">
        <f t="shared" si="2"/>
        <v>2</v>
      </c>
      <c r="K19" s="194">
        <f t="shared" si="0"/>
        <v>-1</v>
      </c>
      <c r="L19" s="47"/>
      <c r="M19" s="202"/>
      <c r="N19" s="113"/>
      <c r="O19" s="202">
        <f t="shared" si="3"/>
        <v>0</v>
      </c>
      <c r="P19" s="110">
        <f t="shared" si="1"/>
        <v>0</v>
      </c>
      <c r="Q19" s="265"/>
      <c r="R19" s="203"/>
      <c r="S19" s="110">
        <f t="shared" si="4"/>
        <v>0</v>
      </c>
      <c r="T19" s="52"/>
      <c r="U19" s="52"/>
      <c r="V19" s="52"/>
      <c r="W19" s="52"/>
    </row>
    <row r="20" spans="1:23" ht="24.75">
      <c r="A20" s="73" t="s">
        <v>25</v>
      </c>
      <c r="B20" s="182">
        <v>640</v>
      </c>
      <c r="C20" s="182"/>
      <c r="D20" s="210">
        <v>2</v>
      </c>
      <c r="E20" s="204"/>
      <c r="F20" s="204"/>
      <c r="G20" s="204"/>
      <c r="H20" s="202">
        <f>ROUND(B20/400, 0)</f>
        <v>2</v>
      </c>
      <c r="I20" s="113"/>
      <c r="J20" s="194">
        <f t="shared" si="2"/>
        <v>2</v>
      </c>
      <c r="K20" s="194">
        <f t="shared" si="0"/>
        <v>0</v>
      </c>
      <c r="L20" s="211">
        <v>5</v>
      </c>
      <c r="M20" s="212">
        <f>ROUND(B20/400*3-2, 0)</f>
        <v>3</v>
      </c>
      <c r="N20" s="113"/>
      <c r="O20" s="202">
        <f t="shared" si="3"/>
        <v>3</v>
      </c>
      <c r="P20" s="110">
        <f t="shared" si="1"/>
        <v>2</v>
      </c>
      <c r="Q20" s="265">
        <v>2</v>
      </c>
      <c r="R20" s="203">
        <v>2</v>
      </c>
      <c r="S20" s="110">
        <f t="shared" si="4"/>
        <v>0</v>
      </c>
      <c r="T20" s="52"/>
      <c r="U20" s="52"/>
      <c r="V20" s="52"/>
      <c r="W20" s="52"/>
    </row>
    <row r="21" spans="1:23" ht="24.75">
      <c r="A21" s="73" t="s">
        <v>26</v>
      </c>
      <c r="B21" s="182">
        <v>640</v>
      </c>
      <c r="C21" s="182"/>
      <c r="D21" s="210">
        <v>1</v>
      </c>
      <c r="E21" s="204"/>
      <c r="F21" s="204"/>
      <c r="G21" s="204"/>
      <c r="H21" s="202"/>
      <c r="I21" s="113"/>
      <c r="J21" s="194">
        <f t="shared" si="2"/>
        <v>0</v>
      </c>
      <c r="K21" s="194">
        <f t="shared" si="0"/>
        <v>1</v>
      </c>
      <c r="L21" s="211"/>
      <c r="M21" s="202">
        <f>ROUND(B21/300, 0)</f>
        <v>2</v>
      </c>
      <c r="N21" s="113"/>
      <c r="O21" s="202">
        <f t="shared" si="3"/>
        <v>2</v>
      </c>
      <c r="P21" s="110">
        <f t="shared" si="1"/>
        <v>-2</v>
      </c>
      <c r="Q21" s="265"/>
      <c r="R21" s="203"/>
      <c r="S21" s="110">
        <f t="shared" si="4"/>
        <v>0</v>
      </c>
      <c r="T21" s="52"/>
      <c r="U21" s="52"/>
      <c r="V21" s="52"/>
      <c r="W21" s="52"/>
    </row>
    <row r="22" spans="1:23" ht="20.25" customHeight="1">
      <c r="A22" s="82" t="s">
        <v>45</v>
      </c>
      <c r="B22" s="213"/>
      <c r="C22" s="213"/>
      <c r="D22" s="213">
        <f t="shared" ref="D22:S22" si="5">SUM(D8:D21)</f>
        <v>63</v>
      </c>
      <c r="E22" s="213">
        <f t="shared" si="5"/>
        <v>7</v>
      </c>
      <c r="F22" s="213">
        <f t="shared" si="5"/>
        <v>6</v>
      </c>
      <c r="G22" s="213">
        <f t="shared" si="5"/>
        <v>0</v>
      </c>
      <c r="H22" s="214">
        <f t="shared" si="5"/>
        <v>67</v>
      </c>
      <c r="I22" s="213">
        <f t="shared" si="5"/>
        <v>0</v>
      </c>
      <c r="J22" s="214">
        <f t="shared" si="5"/>
        <v>67</v>
      </c>
      <c r="K22" s="214">
        <f t="shared" si="5"/>
        <v>3</v>
      </c>
      <c r="L22" s="214">
        <f t="shared" si="5"/>
        <v>146</v>
      </c>
      <c r="M22" s="214">
        <f>SUM(M8:M21)</f>
        <v>179.33333333333334</v>
      </c>
      <c r="N22" s="213">
        <f t="shared" si="5"/>
        <v>0</v>
      </c>
      <c r="O22" s="214">
        <f>SUM(O8:O21)</f>
        <v>179.33333333333334</v>
      </c>
      <c r="P22" s="215">
        <f>SUM(P8:P21)</f>
        <v>-33.333333333333329</v>
      </c>
      <c r="Q22" s="216">
        <f t="shared" si="5"/>
        <v>2</v>
      </c>
      <c r="R22" s="216">
        <f t="shared" si="5"/>
        <v>2</v>
      </c>
      <c r="S22" s="215">
        <f t="shared" si="5"/>
        <v>0</v>
      </c>
      <c r="T22" s="41">
        <f t="shared" ref="T22:W22" si="6">SUM(T8:T21)</f>
        <v>0</v>
      </c>
      <c r="U22" s="41">
        <f t="shared" si="6"/>
        <v>0</v>
      </c>
      <c r="V22" s="41">
        <f t="shared" si="6"/>
        <v>0</v>
      </c>
      <c r="W22" s="41">
        <f t="shared" si="6"/>
        <v>0</v>
      </c>
    </row>
    <row r="23" spans="1:23" ht="15.75" customHeight="1">
      <c r="A23" s="51" t="s">
        <v>66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49"/>
      <c r="R23" s="49"/>
      <c r="S23" s="49"/>
      <c r="T23" s="49"/>
      <c r="U23" s="49"/>
      <c r="V23" s="49"/>
      <c r="W23" s="49"/>
    </row>
    <row r="24" spans="1:23">
      <c r="A24" s="13"/>
    </row>
  </sheetData>
  <mergeCells count="5">
    <mergeCell ref="T6:W6"/>
    <mergeCell ref="D6:S6"/>
    <mergeCell ref="A6:A7"/>
    <mergeCell ref="B6:B7"/>
    <mergeCell ref="C6:C7"/>
  </mergeCells>
  <phoneticPr fontId="8" type="noConversion"/>
  <pageMargins left="0.23622047244094491" right="0.23622047244094491" top="0.35433070866141736" bottom="0.35433070866141736" header="0.31496062992125984" footer="0.31496062992125984"/>
  <pageSetup paperSize="9" scale="95" orientation="landscape" r:id="rId1"/>
  <headerFooter alignWithMargins="0">
    <oddFooter>&amp;R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2"/>
  <sheetViews>
    <sheetView zoomScaleNormal="100" zoomScaleSheetLayoutView="100" workbookViewId="0">
      <selection activeCell="M12" sqref="M12"/>
    </sheetView>
  </sheetViews>
  <sheetFormatPr defaultRowHeight="12.75"/>
  <cols>
    <col min="1" max="1" width="28" style="7" customWidth="1"/>
    <col min="2" max="2" width="15" style="7" customWidth="1"/>
    <col min="3" max="3" width="11.7109375" style="7" customWidth="1"/>
    <col min="4" max="4" width="8.140625" style="7" customWidth="1"/>
    <col min="5" max="5" width="13.140625" style="7" customWidth="1"/>
    <col min="6" max="6" width="10" style="7" customWidth="1"/>
    <col min="7" max="7" width="8" style="7" customWidth="1"/>
    <col min="8" max="8" width="14.28515625" style="7" customWidth="1"/>
    <col min="9" max="9" width="11.42578125" style="7" customWidth="1"/>
    <col min="10" max="16384" width="9.140625" style="7"/>
  </cols>
  <sheetData>
    <row r="1" spans="1:9">
      <c r="A1" s="69"/>
      <c r="B1" s="70" t="s">
        <v>70</v>
      </c>
      <c r="C1" s="61" t="str">
        <f>Kadar.ode.!C1</f>
        <v>КЛИНИЧКО БОЛНИЧКИ ЦЕНТАР ЗЕМУН-БЕОГРАД</v>
      </c>
      <c r="D1" s="65"/>
      <c r="E1" s="65"/>
      <c r="F1" s="65"/>
      <c r="G1" s="67"/>
    </row>
    <row r="2" spans="1:9">
      <c r="A2" s="69"/>
      <c r="B2" s="70" t="s">
        <v>71</v>
      </c>
      <c r="C2" s="61" t="str">
        <f>Kadar.ode.!C2</f>
        <v>07030100</v>
      </c>
      <c r="D2" s="65"/>
      <c r="E2" s="65"/>
      <c r="F2" s="65"/>
      <c r="G2" s="67"/>
    </row>
    <row r="3" spans="1:9">
      <c r="A3" s="69"/>
      <c r="B3" s="70" t="s">
        <v>72</v>
      </c>
      <c r="C3" s="61" t="str">
        <f>Kadar.ode.!C3</f>
        <v>31.12.2019.</v>
      </c>
      <c r="D3" s="65"/>
      <c r="E3" s="65"/>
      <c r="F3" s="65"/>
      <c r="G3" s="67"/>
    </row>
    <row r="4" spans="1:9" ht="14.25">
      <c r="A4" s="69"/>
      <c r="B4" s="70" t="s">
        <v>150</v>
      </c>
      <c r="C4" s="62" t="s">
        <v>112</v>
      </c>
      <c r="D4" s="66"/>
      <c r="E4" s="66"/>
      <c r="F4" s="66"/>
      <c r="G4" s="68"/>
    </row>
    <row r="5" spans="1:9" ht="12" customHeight="1">
      <c r="A5" s="37"/>
      <c r="B5" s="3"/>
      <c r="C5" s="36"/>
      <c r="D5" s="23"/>
    </row>
    <row r="6" spans="1:9" ht="21.75" customHeight="1">
      <c r="A6" s="308" t="s">
        <v>13</v>
      </c>
      <c r="B6" s="308"/>
      <c r="C6" s="53"/>
      <c r="D6" s="53"/>
      <c r="E6" s="53"/>
      <c r="F6" s="53"/>
    </row>
    <row r="7" spans="1:9">
      <c r="A7" s="55" t="s">
        <v>67</v>
      </c>
      <c r="B7" s="56">
        <v>640</v>
      </c>
      <c r="C7" s="53"/>
      <c r="D7" s="53"/>
      <c r="E7" s="53"/>
      <c r="F7" s="53"/>
    </row>
    <row r="8" spans="1:9">
      <c r="A8" s="55" t="s">
        <v>68</v>
      </c>
      <c r="B8" s="56"/>
      <c r="C8" s="53"/>
      <c r="D8" s="53"/>
      <c r="E8" s="53"/>
      <c r="F8" s="53"/>
    </row>
    <row r="9" spans="1:9">
      <c r="A9" s="55" t="s">
        <v>45</v>
      </c>
      <c r="B9" s="56">
        <f>B7+B8</f>
        <v>640</v>
      </c>
      <c r="C9" s="53"/>
      <c r="D9" s="53"/>
      <c r="E9" s="53"/>
      <c r="F9" s="53"/>
      <c r="H9" s="7" t="s">
        <v>155</v>
      </c>
    </row>
    <row r="10" spans="1:9">
      <c r="A10" s="53"/>
      <c r="B10" s="53"/>
      <c r="C10" s="53"/>
      <c r="D10" s="53"/>
      <c r="E10" s="53"/>
      <c r="F10" s="53"/>
      <c r="G10" s="53"/>
      <c r="H10" s="53"/>
      <c r="I10" s="54"/>
    </row>
    <row r="11" spans="1:9" ht="57.75" customHeight="1">
      <c r="A11" s="303" t="s">
        <v>27</v>
      </c>
      <c r="B11" s="309" t="s">
        <v>80</v>
      </c>
      <c r="C11" s="309"/>
      <c r="D11" s="309"/>
      <c r="E11" s="309"/>
      <c r="F11" s="309"/>
      <c r="G11" s="309"/>
      <c r="H11" s="309" t="s">
        <v>77</v>
      </c>
      <c r="I11" s="309"/>
    </row>
    <row r="12" spans="1:9" ht="54.75" customHeight="1">
      <c r="A12" s="303"/>
      <c r="B12" s="81" t="s">
        <v>93</v>
      </c>
      <c r="C12" s="81" t="s">
        <v>30</v>
      </c>
      <c r="D12" s="81" t="s">
        <v>10</v>
      </c>
      <c r="E12" s="81" t="s">
        <v>94</v>
      </c>
      <c r="F12" s="81" t="s">
        <v>30</v>
      </c>
      <c r="G12" s="81" t="s">
        <v>10</v>
      </c>
      <c r="H12" s="81" t="s">
        <v>28</v>
      </c>
      <c r="I12" s="81" t="s">
        <v>31</v>
      </c>
    </row>
    <row r="13" spans="1:9" ht="19.5" customHeight="1">
      <c r="A13" s="281" t="s">
        <v>32</v>
      </c>
      <c r="B13" s="273"/>
      <c r="C13" s="274">
        <v>2</v>
      </c>
      <c r="D13" s="275">
        <f t="shared" ref="D13:D21" si="0">B13-C13</f>
        <v>-2</v>
      </c>
      <c r="E13" s="273">
        <v>1</v>
      </c>
      <c r="F13" s="278">
        <v>3</v>
      </c>
      <c r="G13" s="275">
        <f t="shared" ref="G13:G21" si="1">E13-F13</f>
        <v>-2</v>
      </c>
      <c r="H13" s="279"/>
      <c r="I13" s="280"/>
    </row>
    <row r="14" spans="1:9" ht="18" customHeight="1">
      <c r="A14" s="281" t="s">
        <v>29</v>
      </c>
      <c r="B14" s="273"/>
      <c r="C14" s="274"/>
      <c r="D14" s="275">
        <f t="shared" si="0"/>
        <v>0</v>
      </c>
      <c r="E14" s="273">
        <v>4</v>
      </c>
      <c r="F14" s="278"/>
      <c r="G14" s="275">
        <f t="shared" si="1"/>
        <v>4</v>
      </c>
      <c r="H14" s="279"/>
      <c r="I14" s="280"/>
    </row>
    <row r="15" spans="1:9" ht="24.75" customHeight="1">
      <c r="A15" s="272" t="s">
        <v>193</v>
      </c>
      <c r="B15" s="273">
        <v>47</v>
      </c>
      <c r="C15" s="274">
        <v>45</v>
      </c>
      <c r="D15" s="275">
        <f t="shared" si="0"/>
        <v>2</v>
      </c>
      <c r="E15" s="273">
        <v>3</v>
      </c>
      <c r="F15" s="278"/>
      <c r="G15" s="275">
        <f t="shared" si="1"/>
        <v>3</v>
      </c>
      <c r="H15" s="279"/>
      <c r="I15" s="280"/>
    </row>
    <row r="16" spans="1:9" ht="24">
      <c r="A16" s="272" t="s">
        <v>194</v>
      </c>
      <c r="B16" s="273"/>
      <c r="C16" s="274"/>
      <c r="D16" s="275">
        <f t="shared" si="0"/>
        <v>0</v>
      </c>
      <c r="E16" s="273">
        <v>127</v>
      </c>
      <c r="F16" s="278">
        <v>205</v>
      </c>
      <c r="G16" s="275">
        <f t="shared" si="1"/>
        <v>-78</v>
      </c>
      <c r="H16" s="279"/>
      <c r="I16" s="280"/>
    </row>
    <row r="17" spans="1:9" ht="36">
      <c r="A17" s="272" t="s">
        <v>195</v>
      </c>
      <c r="B17" s="273"/>
      <c r="C17" s="274">
        <v>3</v>
      </c>
      <c r="D17" s="275">
        <f t="shared" si="0"/>
        <v>-3</v>
      </c>
      <c r="E17" s="273"/>
      <c r="F17" s="278">
        <v>14</v>
      </c>
      <c r="G17" s="275">
        <f t="shared" si="1"/>
        <v>-14</v>
      </c>
      <c r="H17" s="279"/>
      <c r="I17" s="280"/>
    </row>
    <row r="18" spans="1:9">
      <c r="A18" s="78"/>
      <c r="B18" s="273"/>
      <c r="C18" s="274"/>
      <c r="D18" s="275">
        <f t="shared" si="0"/>
        <v>0</v>
      </c>
      <c r="E18" s="273"/>
      <c r="F18" s="278"/>
      <c r="G18" s="275">
        <f t="shared" si="1"/>
        <v>0</v>
      </c>
      <c r="H18" s="279"/>
      <c r="I18" s="280"/>
    </row>
    <row r="19" spans="1:9">
      <c r="A19" s="78"/>
      <c r="B19" s="273"/>
      <c r="C19" s="274"/>
      <c r="D19" s="275">
        <f t="shared" si="0"/>
        <v>0</v>
      </c>
      <c r="E19" s="273"/>
      <c r="F19" s="278"/>
      <c r="G19" s="275">
        <f t="shared" si="1"/>
        <v>0</v>
      </c>
      <c r="H19" s="279"/>
      <c r="I19" s="280"/>
    </row>
    <row r="20" spans="1:9" s="27" customFormat="1">
      <c r="A20" s="79"/>
      <c r="B20" s="273"/>
      <c r="C20" s="274"/>
      <c r="D20" s="275">
        <f t="shared" si="0"/>
        <v>0</v>
      </c>
      <c r="E20" s="273"/>
      <c r="F20" s="278"/>
      <c r="G20" s="275">
        <f t="shared" si="1"/>
        <v>0</v>
      </c>
      <c r="H20" s="279"/>
      <c r="I20" s="280"/>
    </row>
    <row r="21" spans="1:9" s="27" customFormat="1">
      <c r="A21" s="79"/>
      <c r="B21" s="273"/>
      <c r="C21" s="274"/>
      <c r="D21" s="275">
        <f t="shared" si="0"/>
        <v>0</v>
      </c>
      <c r="E21" s="273"/>
      <c r="F21" s="278"/>
      <c r="G21" s="275">
        <f t="shared" si="1"/>
        <v>0</v>
      </c>
      <c r="H21" s="279"/>
      <c r="I21" s="280"/>
    </row>
    <row r="22" spans="1:9" s="27" customFormat="1">
      <c r="A22" s="80" t="s">
        <v>0</v>
      </c>
      <c r="B22" s="276">
        <f>SUM(B13:B21)</f>
        <v>47</v>
      </c>
      <c r="C22" s="276">
        <f>SUM(C13:C21)</f>
        <v>50</v>
      </c>
      <c r="D22" s="277">
        <f t="shared" ref="D22" si="2">B22-C22</f>
        <v>-3</v>
      </c>
      <c r="E22" s="276">
        <f>SUM(E13:E21)</f>
        <v>135</v>
      </c>
      <c r="F22" s="276">
        <f>SUM(F13:F21)</f>
        <v>222</v>
      </c>
      <c r="G22" s="277">
        <f t="shared" ref="G22" si="3">E22-F22</f>
        <v>-87</v>
      </c>
      <c r="H22" s="276">
        <f>SUM(H13:H21)</f>
        <v>0</v>
      </c>
      <c r="I22" s="276">
        <f>SUM(I13:I21)</f>
        <v>0</v>
      </c>
    </row>
  </sheetData>
  <mergeCells count="4">
    <mergeCell ref="A6:B6"/>
    <mergeCell ref="A11:A12"/>
    <mergeCell ref="B11:G11"/>
    <mergeCell ref="H11:I11"/>
  </mergeCells>
  <phoneticPr fontId="8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5"/>
  <sheetViews>
    <sheetView zoomScaleNormal="100" zoomScaleSheetLayoutView="100" workbookViewId="0">
      <selection activeCell="A16" sqref="A16:I16"/>
    </sheetView>
  </sheetViews>
  <sheetFormatPr defaultRowHeight="12.75"/>
  <cols>
    <col min="1" max="1" width="46.5703125" customWidth="1"/>
    <col min="2" max="2" width="2.42578125" customWidth="1"/>
    <col min="3" max="3" width="20" customWidth="1"/>
    <col min="4" max="4" width="10" customWidth="1"/>
    <col min="5" max="5" width="9.42578125" customWidth="1"/>
    <col min="6" max="6" width="14.140625" customWidth="1"/>
    <col min="7" max="7" width="12.42578125" customWidth="1"/>
    <col min="8" max="8" width="14.5703125" customWidth="1"/>
    <col min="9" max="9" width="14.7109375" customWidth="1"/>
    <col min="10" max="13" width="9.140625" style="266"/>
  </cols>
  <sheetData>
    <row r="1" spans="1:23">
      <c r="A1" s="69"/>
      <c r="B1" s="70" t="s">
        <v>70</v>
      </c>
      <c r="C1" s="61" t="str">
        <f>Kadar.ode.!C1</f>
        <v>КЛИНИЧКО БОЛНИЧКИ ЦЕНТАР ЗЕМУН-БЕОГРАД</v>
      </c>
      <c r="D1" s="65"/>
      <c r="E1" s="65"/>
      <c r="F1" s="65"/>
      <c r="G1" s="67"/>
      <c r="H1" s="86"/>
      <c r="I1" s="17"/>
      <c r="J1" s="267"/>
      <c r="K1" s="267"/>
      <c r="L1" s="267"/>
      <c r="M1" s="267"/>
      <c r="N1" s="28"/>
      <c r="O1" s="28"/>
      <c r="P1" s="28"/>
      <c r="Q1" s="28"/>
      <c r="R1" s="29"/>
      <c r="S1" s="29"/>
      <c r="T1" s="29"/>
      <c r="U1" s="29"/>
      <c r="V1" s="29"/>
      <c r="W1" s="29"/>
    </row>
    <row r="2" spans="1:23">
      <c r="A2" s="69"/>
      <c r="B2" s="70" t="s">
        <v>71</v>
      </c>
      <c r="C2" s="61" t="str">
        <f>Kadar.ode.!C2</f>
        <v>07030100</v>
      </c>
      <c r="D2" s="65"/>
      <c r="E2" s="65"/>
      <c r="F2" s="65"/>
      <c r="G2" s="67"/>
      <c r="H2" s="86"/>
      <c r="I2" s="28"/>
      <c r="J2" s="267"/>
      <c r="K2" s="267"/>
      <c r="L2" s="267"/>
      <c r="M2" s="267"/>
      <c r="N2" s="29"/>
      <c r="O2" s="29"/>
      <c r="P2" s="29"/>
      <c r="Q2" s="29"/>
      <c r="R2" s="29"/>
      <c r="S2" s="29"/>
    </row>
    <row r="3" spans="1:23">
      <c r="A3" s="69"/>
      <c r="B3" s="70" t="s">
        <v>72</v>
      </c>
      <c r="C3" s="61" t="str">
        <f>Kadar.ode.!C3</f>
        <v>31.12.2019.</v>
      </c>
      <c r="D3" s="65"/>
      <c r="E3" s="65"/>
      <c r="F3" s="65"/>
      <c r="G3" s="67"/>
      <c r="H3" s="86"/>
      <c r="I3" s="28"/>
      <c r="J3" s="267"/>
      <c r="K3" s="267"/>
      <c r="L3" s="267"/>
      <c r="M3" s="267"/>
      <c r="N3" s="28"/>
      <c r="O3" s="28"/>
      <c r="P3" s="28"/>
      <c r="Q3" s="28"/>
      <c r="R3" s="29"/>
      <c r="S3" s="29"/>
      <c r="T3" s="29"/>
      <c r="U3" s="29"/>
      <c r="V3" s="29"/>
      <c r="W3" s="29"/>
    </row>
    <row r="4" spans="1:23" ht="14.25">
      <c r="A4" s="69"/>
      <c r="B4" s="70" t="s">
        <v>151</v>
      </c>
      <c r="C4" s="62" t="s">
        <v>95</v>
      </c>
      <c r="D4" s="66"/>
      <c r="E4" s="66"/>
      <c r="F4" s="66"/>
      <c r="G4" s="68"/>
      <c r="H4" s="87"/>
      <c r="I4" s="29" t="s">
        <v>156</v>
      </c>
      <c r="J4" s="268"/>
      <c r="K4" s="268"/>
      <c r="L4" s="268"/>
      <c r="M4" s="268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>
      <c r="C5" s="30"/>
      <c r="D5" s="30"/>
      <c r="E5" s="30"/>
      <c r="F5" s="30"/>
      <c r="G5" s="31"/>
      <c r="H5" s="31"/>
      <c r="I5" s="30"/>
      <c r="J5" s="269"/>
      <c r="K5" s="269"/>
      <c r="L5" s="269"/>
      <c r="M5" s="269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ht="123" customHeight="1" thickBot="1">
      <c r="A6" s="32"/>
      <c r="B6" s="32"/>
      <c r="C6" s="33" t="s">
        <v>80</v>
      </c>
      <c r="D6" s="33" t="s">
        <v>30</v>
      </c>
      <c r="E6" s="33" t="s">
        <v>43</v>
      </c>
      <c r="F6" s="33" t="s">
        <v>77</v>
      </c>
      <c r="G6" s="33" t="s">
        <v>96</v>
      </c>
      <c r="H6" s="33" t="s">
        <v>115</v>
      </c>
      <c r="I6" s="33" t="s">
        <v>116</v>
      </c>
      <c r="J6" s="269"/>
      <c r="K6" s="269"/>
      <c r="L6" s="269"/>
      <c r="M6" s="269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ht="6" customHeight="1" thickTop="1" thickBot="1">
      <c r="A7" s="32"/>
      <c r="B7" s="32"/>
      <c r="C7" s="32"/>
      <c r="D7" s="32"/>
      <c r="E7" s="32"/>
      <c r="F7" s="32"/>
      <c r="G7" s="32"/>
      <c r="H7" s="32"/>
      <c r="I7" s="30"/>
      <c r="J7" s="269"/>
      <c r="K7" s="269"/>
      <c r="L7" s="269"/>
      <c r="M7" s="269"/>
      <c r="N7" s="30"/>
      <c r="O7" s="30"/>
      <c r="P7" s="30"/>
      <c r="Q7" s="30"/>
      <c r="R7" s="30"/>
      <c r="S7" s="30"/>
      <c r="T7" s="30"/>
      <c r="U7" s="30"/>
      <c r="V7" s="30"/>
      <c r="W7" s="30"/>
    </row>
    <row r="8" spans="1:23" ht="16.5" thickTop="1" thickBot="1">
      <c r="A8" s="32" t="s">
        <v>37</v>
      </c>
      <c r="B8" s="32"/>
      <c r="C8" s="32">
        <f>SUM(Kadar.ode.!I39,Kadar.dne.bol.dij.!E18,Kadar.zaj.med.del.!D22)</f>
        <v>262</v>
      </c>
      <c r="D8" s="217">
        <f>IF(Kadar.zaj.med.del.!E11&gt;=Kadar.zaj.med.del.!J11,SUM(Kadar.ode.!P39,Kadar.dne.bol.dij.!H18,Kadar.zaj.med.del.!J22)-Kadar.zaj.med.del.!J11-Kadar.zaj.med.del.!J18,IF(((Kadar.zaj.med.del.!E11+Kadar.zaj.med.del.!D11)&lt;=Kadar.zaj.med.del.!J11),SUM(Kadar.ode.!P39,Kadar.dne.bol.dij.!H18,Kadar.zaj.med.del.!J22)-Kadar.zaj.med.del.!J18-(Kadar.zaj.med.del.!J11-Kadar.zaj.med.del.!D11),SUM(Kadar.ode.!P39,Kadar.dne.bol.dij.!H18,Kadar.zaj.med.del.!J22)-Kadar.zaj.med.del.!J18-Kadar.zaj.med.del.!E11))+2</f>
        <v>279</v>
      </c>
      <c r="E8" s="217">
        <f t="shared" ref="E8:E13" si="0">C8-D8</f>
        <v>-17</v>
      </c>
      <c r="F8" s="32">
        <f>SUM(Kadar.ode.!AD39,Kadar.dne.bol.dij.!P18,Kadar.zaj.med.del.!T22)</f>
        <v>0</v>
      </c>
      <c r="G8" s="32">
        <f t="shared" ref="G8:G13" si="1">SUM(C8,F8)</f>
        <v>262</v>
      </c>
      <c r="H8" s="225">
        <v>4</v>
      </c>
      <c r="I8" s="226">
        <v>0</v>
      </c>
      <c r="J8" s="269"/>
      <c r="K8" s="269"/>
      <c r="L8" s="269"/>
      <c r="M8" s="269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3" ht="16.5" thickTop="1" thickBot="1">
      <c r="A9" s="32" t="s">
        <v>38</v>
      </c>
      <c r="B9" s="32"/>
      <c r="C9" s="32">
        <f>SUM(Kadar.zaj.med.del.!E22)</f>
        <v>7</v>
      </c>
      <c r="D9" s="217">
        <f>IF(Kadar.zaj.med.del.!D11+Kadar.zaj.med.del.!E11&lt;=Kadar.zaj.med.del.!J11,SUM(Kadar.zaj.med.del.!J18+Kadar.zaj.med.del.!J11-Kadar.zaj.med.del.!D11),IF(Kadar.zaj.med.del.!E11&gt;Kadar.zaj.med.del.!J11,SUM(Kadar.zaj.med.del.!J18+Kadar.zaj.med.del.!J11),SUM(Kadar.zaj.med.del.!J18+Kadar.zaj.med.del.!E11)))-2</f>
        <v>8</v>
      </c>
      <c r="E9" s="217">
        <f t="shared" si="0"/>
        <v>-1</v>
      </c>
      <c r="F9" s="32">
        <f>SUM(Kadar.zaj.med.del.!U22)</f>
        <v>0</v>
      </c>
      <c r="G9" s="32">
        <f t="shared" si="1"/>
        <v>7</v>
      </c>
      <c r="H9" s="225">
        <v>0</v>
      </c>
      <c r="I9" s="225">
        <v>0</v>
      </c>
      <c r="J9" s="269"/>
      <c r="K9" s="269"/>
      <c r="L9" s="269"/>
      <c r="M9" s="269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1:23" ht="16.5" thickTop="1" thickBot="1">
      <c r="A10" s="32" t="s">
        <v>39</v>
      </c>
      <c r="B10" s="32"/>
      <c r="C10" s="32">
        <f>SUM(Kadar.ode.!R39,Kadar.dne.bol.dij.!J18,Kadar.zaj.med.del.!L22)</f>
        <v>704</v>
      </c>
      <c r="D10" s="217">
        <f>SUM(Kadar.ode.!X39,Kadar.dne.bol.dij.!K18,Kadar.zaj.med.del.!O22)</f>
        <v>870.33333333333337</v>
      </c>
      <c r="E10" s="217">
        <f t="shared" si="0"/>
        <v>-166.33333333333337</v>
      </c>
      <c r="F10" s="32">
        <f>SUM(Kadar.ode.!AE39,Kadar.dne.bol.dij.!Q18,Kadar.zaj.med.del.!V22)</f>
        <v>0</v>
      </c>
      <c r="G10" s="32">
        <f t="shared" si="1"/>
        <v>704</v>
      </c>
      <c r="H10" s="225">
        <v>45</v>
      </c>
      <c r="I10" s="225">
        <v>2</v>
      </c>
    </row>
    <row r="11" spans="1:23" ht="16.5" thickTop="1" thickBot="1">
      <c r="A11" s="32" t="s">
        <v>40</v>
      </c>
      <c r="B11" s="32"/>
      <c r="C11" s="32">
        <f>SUM(Kadar.ode.!Z39,Kadar.dne.bol.dij.!M18,Kadar.zaj.med.del.!Q22)</f>
        <v>3</v>
      </c>
      <c r="D11" s="217">
        <f>SUM(Kadar.ode.!AA39,Kadar.ode.!AB39,Kadar.dne.bol.dij.!N18,Kadar.zaj.med.del.!R22)</f>
        <v>5.1124999999999998</v>
      </c>
      <c r="E11" s="217">
        <f t="shared" si="0"/>
        <v>-2.1124999999999998</v>
      </c>
      <c r="F11" s="32">
        <f>SUM(Kadar.ode.!AF39,Kadar.dne.bol.dij.!R18,Kadar.zaj.med.del.!W22)</f>
        <v>0</v>
      </c>
      <c r="G11" s="32">
        <f t="shared" si="1"/>
        <v>3</v>
      </c>
      <c r="H11" s="225">
        <v>0</v>
      </c>
      <c r="I11" s="225">
        <v>0</v>
      </c>
    </row>
    <row r="12" spans="1:23" ht="16.5" thickTop="1" thickBot="1">
      <c r="A12" s="32" t="s">
        <v>41</v>
      </c>
      <c r="B12" s="32"/>
      <c r="C12" s="32">
        <f>SUM(Kadar.nem.!B22)</f>
        <v>47</v>
      </c>
      <c r="D12" s="217">
        <f>SUM(Kadar.nem.!C22)</f>
        <v>50</v>
      </c>
      <c r="E12" s="217">
        <f t="shared" si="0"/>
        <v>-3</v>
      </c>
      <c r="F12" s="32">
        <f>SUM(Kadar.nem.!H22)</f>
        <v>0</v>
      </c>
      <c r="G12" s="32">
        <f t="shared" si="1"/>
        <v>47</v>
      </c>
      <c r="H12" s="225">
        <v>0</v>
      </c>
      <c r="I12" s="225">
        <v>0</v>
      </c>
    </row>
    <row r="13" spans="1:23" ht="16.5" thickTop="1" thickBot="1">
      <c r="A13" s="32" t="s">
        <v>42</v>
      </c>
      <c r="B13" s="32"/>
      <c r="C13" s="32">
        <f>SUM(Kadar.nem.!E22)</f>
        <v>135</v>
      </c>
      <c r="D13" s="217">
        <f>SUM(Kadar.nem.!F22)</f>
        <v>222</v>
      </c>
      <c r="E13" s="217">
        <f t="shared" si="0"/>
        <v>-87</v>
      </c>
      <c r="F13" s="32">
        <f>SUM(Kadar.nem.!I22)</f>
        <v>0</v>
      </c>
      <c r="G13" s="32">
        <f t="shared" si="1"/>
        <v>135</v>
      </c>
      <c r="H13" s="225">
        <v>18</v>
      </c>
      <c r="I13" s="225">
        <v>2</v>
      </c>
    </row>
    <row r="14" spans="1:23" ht="16.5" thickTop="1" thickBot="1">
      <c r="A14" s="32" t="s">
        <v>0</v>
      </c>
      <c r="B14" s="32"/>
      <c r="C14" s="32">
        <f t="shared" ref="C14:I14" si="2">SUM(C8:C13)</f>
        <v>1158</v>
      </c>
      <c r="D14" s="217">
        <f t="shared" si="2"/>
        <v>1434.4458333333334</v>
      </c>
      <c r="E14" s="217">
        <f t="shared" si="2"/>
        <v>-276.44583333333338</v>
      </c>
      <c r="F14" s="32">
        <f t="shared" si="2"/>
        <v>0</v>
      </c>
      <c r="G14" s="32">
        <f t="shared" si="2"/>
        <v>1158</v>
      </c>
      <c r="H14" s="32">
        <f t="shared" si="2"/>
        <v>67</v>
      </c>
      <c r="I14" s="32">
        <f t="shared" si="2"/>
        <v>4</v>
      </c>
    </row>
    <row r="15" spans="1:23" s="266" customFormat="1" ht="13.5" thickTop="1"/>
    <row r="16" spans="1:23" s="266" customFormat="1" ht="15">
      <c r="A16" s="310"/>
      <c r="B16" s="311"/>
      <c r="C16" s="311"/>
      <c r="D16" s="311"/>
      <c r="E16" s="311"/>
      <c r="F16" s="311"/>
      <c r="G16" s="311"/>
      <c r="H16" s="311"/>
      <c r="I16" s="311"/>
    </row>
    <row r="17" s="266" customFormat="1"/>
    <row r="18" s="266" customFormat="1"/>
    <row r="19" s="266" customFormat="1"/>
    <row r="20" s="266" customFormat="1" ht="12.75" customHeight="1"/>
    <row r="21" s="266" customFormat="1"/>
    <row r="22" s="266" customFormat="1"/>
    <row r="23" s="266" customFormat="1"/>
    <row r="24" s="266" customFormat="1"/>
    <row r="25" s="266" customFormat="1"/>
  </sheetData>
  <sheetProtection password="ED5C" sheet="1" objects="1" scenarios="1"/>
  <mergeCells count="1">
    <mergeCell ref="A16:I16"/>
  </mergeCells>
  <phoneticPr fontId="8" type="noConversion"/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САДРЖАЈ</vt:lpstr>
      <vt:lpstr>Kadar.ode.</vt:lpstr>
      <vt:lpstr>Kadar.dne.bol.dij.</vt:lpstr>
      <vt:lpstr>Kadar.zaj.med.del.</vt:lpstr>
      <vt:lpstr>Kadar.nem.</vt:lpstr>
      <vt:lpstr>Kadar.zbirno TAB 5 </vt:lpstr>
      <vt:lpstr>Sheet1</vt:lpstr>
      <vt:lpstr>Kadar.ode.!Print_Titles</vt:lpstr>
      <vt:lpstr>Kadar.zaj.med.del.!Print_Titles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nada.velickovic</cp:lastModifiedBy>
  <cp:lastPrinted>2020-10-16T12:19:41Z</cp:lastPrinted>
  <dcterms:created xsi:type="dcterms:W3CDTF">1998-03-25T08:50:17Z</dcterms:created>
  <dcterms:modified xsi:type="dcterms:W3CDTF">2023-01-26T13:14:14Z</dcterms:modified>
</cp:coreProperties>
</file>