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9320" windowHeight="4785" tabRatio="709" activeTab="0"/>
  </bookViews>
  <sheets>
    <sheet name="Kadar.ode." sheetId="1" r:id="rId1"/>
    <sheet name="Kadar.dne.bol.dij." sheetId="2" r:id="rId2"/>
    <sheet name="Kadar.zaj.med.del." sheetId="3" r:id="rId3"/>
    <sheet name="Kadar.nem." sheetId="4" r:id="rId4"/>
    <sheet name="Kadar.zbirno " sheetId="5" r:id="rId5"/>
    <sheet name="Kadar.nepuno.rv" sheetId="6" r:id="rId6"/>
    <sheet name="Kadar.radno angažovani" sheetId="7" r:id="rId7"/>
    <sheet name="Sheet1" sheetId="8" r:id="rId8"/>
    <sheet name="Sheet2" sheetId="9" r:id="rId9"/>
  </sheets>
  <externalReferences>
    <externalReference r:id="rId12"/>
  </externalReferences>
  <definedNames>
    <definedName name="____W.O.R.K.B.O.O.K..C.O.N.T.E.N.T.S____">#REF!</definedName>
    <definedName name="_xlnm.Print_Titles" localSheetId="0">'Kadar.ode.'!$6:$8</definedName>
    <definedName name="_xlnm.Print_Titles" localSheetId="2">'Kadar.zaj.med.del.'!$B:$B</definedName>
  </definedNames>
  <calcPr fullCalcOnLoad="1"/>
</workbook>
</file>

<file path=xl/comments1.xml><?xml version="1.0" encoding="utf-8"?>
<comments xmlns="http://schemas.openxmlformats.org/spreadsheetml/2006/main">
  <authors>
    <author>andjelija.neskovic</author>
    <author>Author</author>
    <author>Biljana Budic</author>
  </authors>
  <commentList>
    <comment ref="M10" authorId="0">
      <text>
        <r>
          <rPr>
            <b/>
            <sz val="8"/>
            <rFont val="Tahoma"/>
            <family val="2"/>
          </rPr>
          <t>andjelija.neskovic:</t>
        </r>
        <r>
          <rPr>
            <sz val="8"/>
            <rFont val="Tahoma"/>
            <family val="2"/>
          </rPr>
          <t xml:space="preserve">
normativ uvecan za dopler krvnih sudova glave i vrata</t>
        </r>
      </text>
    </comment>
    <comment ref="M14" authorId="1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normativ uvecan zbog endoskopija</t>
        </r>
      </text>
    </comment>
    <comment ref="M22" authorId="0">
      <text>
        <r>
          <rPr>
            <b/>
            <sz val="8"/>
            <rFont val="Tahoma"/>
            <family val="2"/>
          </rPr>
          <t>andjelija.neskovic:</t>
        </r>
        <r>
          <rPr>
            <sz val="8"/>
            <rFont val="Tahoma"/>
            <family val="2"/>
          </rPr>
          <t xml:space="preserve">
normativ uvecan zbog UZ kukova +1 zbog MI 352 hosp i 1543 pregleda</t>
        </r>
      </text>
    </comment>
    <comment ref="M26" authorId="0">
      <text>
        <r>
          <rPr>
            <b/>
            <sz val="8"/>
            <rFont val="Tahoma"/>
            <family val="2"/>
          </rPr>
          <t>andjelija.neskovic:</t>
        </r>
        <r>
          <rPr>
            <sz val="8"/>
            <rFont val="Tahoma"/>
            <family val="2"/>
          </rPr>
          <t xml:space="preserve">
normativ uvecan zbog endoskopija i UZ</t>
        </r>
      </text>
    </comment>
    <comment ref="M31" authorId="0">
      <text>
        <r>
          <rPr>
            <b/>
            <sz val="8"/>
            <rFont val="Tahoma"/>
            <family val="2"/>
          </rPr>
          <t>andjelija.neskovic:</t>
        </r>
        <r>
          <rPr>
            <sz val="8"/>
            <rFont val="Tahoma"/>
            <family val="2"/>
          </rPr>
          <t xml:space="preserve">
normativ uvecan zbog uz i za 1 zbog MI 239 hosp. i 1354 pregleda</t>
        </r>
      </text>
    </comment>
    <comment ref="M13" authorId="0">
      <text>
        <r>
          <rPr>
            <b/>
            <sz val="8"/>
            <rFont val="Tahoma"/>
            <family val="2"/>
          </rPr>
          <t>andjelija.neskovic:</t>
        </r>
        <r>
          <rPr>
            <sz val="8"/>
            <rFont val="Tahoma"/>
            <family val="2"/>
          </rPr>
          <t xml:space="preserve">
normativ uvecan zbog ultrazvuka srca i angiosale</t>
        </r>
      </text>
    </comment>
    <comment ref="B11" authorId="0">
      <text>
        <r>
          <rPr>
            <b/>
            <sz val="8"/>
            <rFont val="Tahoma"/>
            <family val="2"/>
          </rPr>
          <t>andjelija.neskovic:</t>
        </r>
        <r>
          <rPr>
            <sz val="8"/>
            <rFont val="Tahoma"/>
            <family val="2"/>
          </rPr>
          <t xml:space="preserve">
pripada hirurgiji</t>
        </r>
      </text>
    </comment>
    <comment ref="B15" authorId="0">
      <text>
        <r>
          <rPr>
            <b/>
            <sz val="8"/>
            <rFont val="Tahoma"/>
            <family val="2"/>
          </rPr>
          <t>andjelija.neskovic:</t>
        </r>
        <r>
          <rPr>
            <sz val="8"/>
            <rFont val="Tahoma"/>
            <family val="2"/>
          </rPr>
          <t xml:space="preserve">
pripada gastroenterologiji</t>
        </r>
      </text>
    </comment>
    <comment ref="B17" authorId="0">
      <text>
        <r>
          <rPr>
            <b/>
            <sz val="8"/>
            <rFont val="Tahoma"/>
            <family val="2"/>
          </rPr>
          <t>andjelija.neskovic:</t>
        </r>
        <r>
          <rPr>
            <sz val="8"/>
            <rFont val="Tahoma"/>
            <family val="2"/>
          </rPr>
          <t xml:space="preserve">
zatvoren objekat, postelje i kadar prebaceni na druga odeljenja</t>
        </r>
      </text>
    </comment>
    <comment ref="M29" authorId="0">
      <text>
        <r>
          <rPr>
            <b/>
            <sz val="8"/>
            <rFont val="Tahoma"/>
            <family val="2"/>
          </rPr>
          <t>andjelija.neskovic:</t>
        </r>
        <r>
          <rPr>
            <sz val="8"/>
            <rFont val="Tahoma"/>
            <family val="2"/>
          </rPr>
          <t xml:space="preserve">
ne postoji nermativ, upisano postojece stanje kadra</t>
        </r>
      </text>
    </comment>
    <comment ref="M33" authorId="0">
      <text>
        <r>
          <rPr>
            <b/>
            <sz val="8"/>
            <rFont val="Tahoma"/>
            <family val="2"/>
          </rPr>
          <t>andjelija.neskovic:</t>
        </r>
        <r>
          <rPr>
            <sz val="8"/>
            <rFont val="Tahoma"/>
            <family val="2"/>
          </rPr>
          <t xml:space="preserve">
zbrinjavanje hitnih vrse interna, hirurgija i ORL</t>
        </r>
      </text>
    </comment>
    <comment ref="M25" authorId="2">
      <text>
        <r>
          <rPr>
            <b/>
            <sz val="9"/>
            <rFont val="Tahoma"/>
            <family val="2"/>
          </rPr>
          <t>Biljana Budic:</t>
        </r>
        <r>
          <rPr>
            <sz val="9"/>
            <rFont val="Tahoma"/>
            <family val="2"/>
          </rPr>
          <t xml:space="preserve">
dodato još 2</t>
        </r>
      </text>
    </comment>
  </commentList>
</comments>
</file>

<file path=xl/comments2.xml><?xml version="1.0" encoding="utf-8"?>
<comments xmlns="http://schemas.openxmlformats.org/spreadsheetml/2006/main">
  <authors>
    <author>nada.velickovic</author>
  </authors>
  <commentList>
    <comment ref="A9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ДОДАТИ ДВА ЛЕКАРА У ТАБЕЛИ</t>
        </r>
      </text>
    </comment>
  </commentList>
</comments>
</file>

<file path=xl/comments3.xml><?xml version="1.0" encoding="utf-8"?>
<comments xmlns="http://schemas.openxmlformats.org/spreadsheetml/2006/main">
  <authors>
    <author>nada.velickovic</author>
    <author>andjelija.neskovic</author>
  </authors>
  <commentList>
    <comment ref="H13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OLJA JAVILA IZMENU</t>
        </r>
      </text>
    </comment>
    <comment ref="B12" authorId="0">
      <text>
        <r>
          <rPr>
            <b/>
            <sz val="9"/>
            <rFont val="Tahoma"/>
            <family val="2"/>
          </rPr>
          <t>nada.velickovic:</t>
        </r>
        <r>
          <rPr>
            <sz val="9"/>
            <rFont val="Tahoma"/>
            <family val="2"/>
          </rPr>
          <t xml:space="preserve">
ИЗДВОЈИТИ МИКРОБИОЛОГЕ ИЗ ЛАБОРАТОРИЈЕ</t>
        </r>
      </text>
    </comment>
    <comment ref="I8" authorId="1">
      <text>
        <r>
          <rPr>
            <b/>
            <sz val="8"/>
            <rFont val="Tahoma"/>
            <family val="2"/>
          </rPr>
          <t>andjelija.neskovic:</t>
        </r>
        <r>
          <rPr>
            <sz val="8"/>
            <rFont val="Tahoma"/>
            <family val="2"/>
          </rPr>
          <t xml:space="preserve">
normativ uvecan za 1 zbog skrininga na ca dojke</t>
        </r>
      </text>
    </comment>
    <comment ref="I13" authorId="1">
      <text>
        <r>
          <rPr>
            <b/>
            <sz val="8"/>
            <rFont val="Tahoma"/>
            <family val="2"/>
          </rPr>
          <t>andjelija.neskovic:</t>
        </r>
        <r>
          <rPr>
            <sz val="8"/>
            <rFont val="Tahoma"/>
            <family val="2"/>
          </rPr>
          <t xml:space="preserve">
normativ uvecan zbog skrininga na ca grlica materice</t>
        </r>
      </text>
    </comment>
    <comment ref="I14" authorId="1">
      <text>
        <r>
          <rPr>
            <b/>
            <sz val="8"/>
            <rFont val="Tahoma"/>
            <family val="2"/>
          </rPr>
          <t>andjelija.neskovic:</t>
        </r>
        <r>
          <rPr>
            <sz val="8"/>
            <rFont val="Tahoma"/>
            <family val="2"/>
          </rPr>
          <t xml:space="preserve">
normativ uvecan zbog kolonoskopija u opstoj anesteziji, reanimacije AIM, porodjaja u epiduralu</t>
        </r>
      </text>
    </comment>
    <comment ref="I15" authorId="1">
      <text>
        <r>
          <rPr>
            <b/>
            <sz val="8"/>
            <rFont val="Tahoma"/>
            <family val="2"/>
          </rPr>
          <t>andjelija.neskovic:</t>
        </r>
        <r>
          <rPr>
            <sz val="8"/>
            <rFont val="Tahoma"/>
            <family val="2"/>
          </rPr>
          <t xml:space="preserve">
normativ uvecan ybog oko 9000 davanja krvi</t>
        </r>
      </text>
    </comment>
  </commentList>
</comments>
</file>

<file path=xl/sharedStrings.xml><?xml version="1.0" encoding="utf-8"?>
<sst xmlns="http://schemas.openxmlformats.org/spreadsheetml/2006/main" count="499" uniqueCount="263">
  <si>
    <t>УКУПНО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</si>
  <si>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</si>
  <si>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</si>
  <si>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</si>
  <si>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</si>
  <si>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</si>
  <si>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</si>
  <si>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</si>
  <si>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</si>
  <si>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</si>
  <si>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</si>
  <si>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</si>
  <si>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</si>
  <si>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</si>
  <si>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</si>
  <si>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</si>
  <si>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</si>
  <si>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</si>
  <si>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</si>
  <si>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</si>
  <si>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</si>
  <si>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</si>
  <si>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</si>
  <si>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</si>
  <si>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</si>
  <si>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</si>
  <si>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</si>
  <si>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</si>
  <si>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ДИЈАЛИЗА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</si>
  <si>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</si>
  <si>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</si>
  <si>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</si>
  <si>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</si>
  <si>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</si>
  <si>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</si>
  <si>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</si>
  <si>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</si>
  <si>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</si>
  <si>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</si>
  <si>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</si>
  <si>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</si>
  <si>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</si>
  <si>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</si>
  <si>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</si>
  <si>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</si>
  <si>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</si>
  <si>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</si>
  <si>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</si>
  <si>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</si>
  <si>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</si>
  <si>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</si>
  <si>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</si>
  <si>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</si>
  <si>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</si>
  <si>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</si>
  <si>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</si>
  <si>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</si>
  <si>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</si>
  <si>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</si>
  <si>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</si>
  <si>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</si>
  <si>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</si>
  <si>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</si>
  <si>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Број апарата, број операционих сала</t>
  </si>
  <si>
    <t>Назив здравствене установе</t>
  </si>
  <si>
    <t>Матични број здравствене установе</t>
  </si>
  <si>
    <t>Табела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</si>
  <si>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</si>
  <si>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</si>
  <si>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</si>
  <si>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</si>
  <si>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</si>
  <si>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</si>
  <si>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</si>
  <si>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</si>
  <si>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</si>
  <si>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</si>
  <si>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</si>
  <si>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</si>
  <si>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</si>
  <si>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</si>
  <si>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</si>
  <si>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</si>
  <si>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</si>
  <si>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</si>
  <si>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</si>
  <si>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</si>
  <si>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</si>
  <si>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</si>
  <si>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</si>
  <si>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</si>
  <si>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</si>
  <si>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</si>
  <si>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</si>
  <si>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</si>
  <si>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</si>
  <si>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</si>
  <si>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</si>
  <si>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основни норматив</t>
  </si>
  <si>
    <t>Укупан норматив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</si>
  <si>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</si>
  <si>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</si>
  <si>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>Интернистичка клиника</t>
  </si>
  <si>
    <t>служба неурологије</t>
  </si>
  <si>
    <t>одељење интензивне неге</t>
  </si>
  <si>
    <t>служба медикалне онкологије</t>
  </si>
  <si>
    <t>служба кардиологије</t>
  </si>
  <si>
    <t>служба гастроентерологије</t>
  </si>
  <si>
    <t>одсек интензивне неге</t>
  </si>
  <si>
    <t>служба пулмологије</t>
  </si>
  <si>
    <t>одсек тбц</t>
  </si>
  <si>
    <t>служба ендокринологије</t>
  </si>
  <si>
    <t>служба нефрологије</t>
  </si>
  <si>
    <t>служба хематологије</t>
  </si>
  <si>
    <t>служба интернистичке геријатрије</t>
  </si>
  <si>
    <t>болница за педијатрију</t>
  </si>
  <si>
    <t>клиника за хирургију</t>
  </si>
  <si>
    <t>служба неурохирургију</t>
  </si>
  <si>
    <t>служба орл са мфх</t>
  </si>
  <si>
    <t>служба урологије</t>
  </si>
  <si>
    <t>служба опште хирургије</t>
  </si>
  <si>
    <t>служба ортопедије</t>
  </si>
  <si>
    <t>служба баромедицине</t>
  </si>
  <si>
    <t>служба операционог блока са стерилизацијом и интензивном терапијом</t>
  </si>
  <si>
    <t>болница за гинекологију и акушерство</t>
  </si>
  <si>
    <t>служба за неонатологију</t>
  </si>
  <si>
    <t>сл. за пријем и збрињавање ургентних стања</t>
  </si>
  <si>
    <t>служба за спец. И консултативне прегледе</t>
  </si>
  <si>
    <t>Правна и општа служба</t>
  </si>
  <si>
    <t>Финансијско економска служба</t>
  </si>
  <si>
    <t>Техничка служба</t>
  </si>
  <si>
    <t>Неонатологија</t>
  </si>
  <si>
    <t>Дневна</t>
  </si>
  <si>
    <t>Р.
Бр</t>
  </si>
  <si>
    <t>ЦТ, 2 aparata, 1 uradi u 2, a 1 u jednoj smeni</t>
  </si>
  <si>
    <t>-кабинет за офталмологију</t>
  </si>
  <si>
    <t>-кабинет за дерматовенерологију</t>
  </si>
  <si>
    <t>- кабинет за реуматологију</t>
  </si>
  <si>
    <t>- кабинет за неуропсихијатрију</t>
  </si>
  <si>
    <t>У К У П Н О</t>
  </si>
  <si>
    <t>1. 10 запослених (трудница) засновале радни однос на одређено време до истека коришћења права на одсуство (које укључује време трудноће, породиљско одсуство, одсуство са рада ради неге детета и одсуство с рада ради посебне неге детета).</t>
  </si>
  <si>
    <t>3. У Служби анестезиологије, реаниматологије и интензивне терапије, један лекар има експертизу.</t>
  </si>
  <si>
    <t>4. У Служби за организацију, планирање, евалуацију и медицинску информатику један лекар има експерзизу.</t>
  </si>
  <si>
    <t>2. У Служби за радиолошку дијагностику од укупног броја запослених три радиолошка техничара, на основу експертизе, не улазе у зону зрачења.</t>
  </si>
  <si>
    <t>Број исписаних болесника 2017</t>
  </si>
  <si>
    <t>Број бо  дана 2017</t>
  </si>
  <si>
    <t>Просечна дневна заузетост постеља 2017 (%)</t>
  </si>
  <si>
    <t>Запослени са непуним радним временом</t>
  </si>
  <si>
    <t>Р.БР</t>
  </si>
  <si>
    <t>Име и презиме</t>
  </si>
  <si>
    <t>Стручна спрема</t>
  </si>
  <si>
    <t>Занимање</t>
  </si>
  <si>
    <t>Број сати за који је закључен уговор о раду са непуним радним временом</t>
  </si>
  <si>
    <t>Назив организационе јединице у којој обавља послове по уговору о раду</t>
  </si>
  <si>
    <t>Радно ангажовани из здравствених установа са подручја АП Косово и Метохија</t>
  </si>
  <si>
    <t>Матична установа са Косова и Метохије у којој је радник запослен</t>
  </si>
  <si>
    <t>Назив организационе јединице у којој је лице радно ангажовано</t>
  </si>
  <si>
    <t>потпис и печат</t>
  </si>
  <si>
    <t>31.12.2017.</t>
  </si>
  <si>
    <t>Проф. др Сања Миленковић</t>
  </si>
  <si>
    <t>Висока</t>
  </si>
  <si>
    <t>Лекар специјалиста патологије</t>
  </si>
  <si>
    <t xml:space="preserve">80%КБЦ Земун; 10% Висока здравствена школа струковних студија "Висан"; 10% Стоматолошки факултет у Панчеву </t>
  </si>
  <si>
    <t>Кабинет директора</t>
  </si>
  <si>
    <t>Прим. др Мирко Василски</t>
  </si>
  <si>
    <t>Лекар специјалиста радиологије</t>
  </si>
  <si>
    <t>Служба за радиолошку дијагностику</t>
  </si>
  <si>
    <t>Др Владимир Чотрић</t>
  </si>
  <si>
    <t>Мр сци. мед. др Зорана Вукашиновић-Бокун</t>
  </si>
  <si>
    <t>Лекар специјалиста патолошке анатомије</t>
  </si>
  <si>
    <t>Служба за клиничку патологију</t>
  </si>
  <si>
    <t>Прим. др сци мед Игор Пљеша</t>
  </si>
  <si>
    <t>Лекар специјалиста гинекологије и акушерства-онколог</t>
  </si>
  <si>
    <t xml:space="preserve">95% КБЦ Земун; 5%Висока здравствена школа струковних студија "Висан"; </t>
  </si>
  <si>
    <t>Болница за гинекологију и акушерство</t>
  </si>
  <si>
    <t>Др сци. мед Ненад Живковић</t>
  </si>
  <si>
    <t>Лекар на специјализацији из неурохирургије</t>
  </si>
  <si>
    <t>90% КБЦ Земун; 10%Висока здравствена школа струковних студија "Висан"</t>
  </si>
  <si>
    <t>Служба неурохирургије</t>
  </si>
  <si>
    <t>Прим. др сци. мед. Милош Војиновић</t>
  </si>
  <si>
    <t>Лекар специјалиста ортопедије-субспец.баромедицине</t>
  </si>
  <si>
    <t>Служба баромедицине</t>
  </si>
  <si>
    <t>Прим. др Борис Ковачевић</t>
  </si>
  <si>
    <t>Лекар специјалиста педијатрије-субспец.кардиолог</t>
  </si>
  <si>
    <t>Болница за Педијатрију</t>
  </si>
  <si>
    <t>Дедић Татјана</t>
  </si>
  <si>
    <t xml:space="preserve">Спец. болница за плућне болести </t>
  </si>
  <si>
    <t>Медицинска сестра - техничар</t>
  </si>
  <si>
    <t>Средња стручна спрема</t>
  </si>
  <si>
    <t>Служба за пријем и збрињавање ургентних стања</t>
  </si>
  <si>
    <t>Поповић Драгана</t>
  </si>
  <si>
    <t>ДЗ Приштина</t>
  </si>
  <si>
    <t>Грбић Драгана</t>
  </si>
  <si>
    <t>ДЗ Исток</t>
  </si>
  <si>
    <t>Васић Славица</t>
  </si>
  <si>
    <t>Гинеколошко акушерска сестра</t>
  </si>
  <si>
    <t>Радуловић Љиљана</t>
  </si>
  <si>
    <t>Лабораторијски техничар</t>
  </si>
  <si>
    <t>Служба за лабораторијску дијагностику</t>
  </si>
  <si>
    <t>Славковић Александра</t>
  </si>
  <si>
    <t>ЗЦ Призрен</t>
  </si>
  <si>
    <t>КЛИНИЧКО БОЛНИЧКИ ЦЕНТАР ЗЕМУН-БЕОГРАД</t>
  </si>
  <si>
    <t>Наставници и сарадници факултета здравствене струке</t>
  </si>
  <si>
    <t>Наставно или сарадничко звање</t>
  </si>
  <si>
    <t>Област</t>
  </si>
  <si>
    <t>Факултет</t>
  </si>
  <si>
    <t>Уговор о раду са пуним радним временом са здравственом установом (ДА/НЕ)</t>
  </si>
  <si>
    <t>Врста радног односа у здравственој установи (неодређено/одређено)</t>
  </si>
  <si>
    <t>Проценат радног времена по уговору о раду са непуним радним временом са здравственом установом</t>
  </si>
  <si>
    <t>Уговор о раду са пуним радним временом са факултетом здравствене струке (ДА/НЕ)</t>
  </si>
  <si>
    <t>Врста радног односа на факултету (неодређено/одређено)</t>
  </si>
  <si>
    <t>Проценат радног времена по уговору о раду са непуним радним временом са факултетом здравствене струке</t>
  </si>
  <si>
    <t>1.</t>
  </si>
  <si>
    <t>Проф. др Драгош Стојановић</t>
  </si>
  <si>
    <t>Ванредни професор</t>
  </si>
  <si>
    <t>Медицина</t>
  </si>
  <si>
    <t>Медицински факултет Универзитета у Београду</t>
  </si>
  <si>
    <t>Да</t>
  </si>
  <si>
    <t>Неодређено</t>
  </si>
  <si>
    <t>_</t>
  </si>
  <si>
    <t>Одређено</t>
  </si>
  <si>
    <t>2.</t>
  </si>
  <si>
    <t>Проф др Биљана Путниковић-Тошић</t>
  </si>
  <si>
    <t>Редовни професор</t>
  </si>
  <si>
    <t>неодређено</t>
  </si>
  <si>
    <t>3.</t>
  </si>
  <si>
    <t>Стоматолошки факултет у Панчеву</t>
  </si>
  <si>
    <t>Не</t>
  </si>
  <si>
    <t>4.</t>
  </si>
  <si>
    <t>Асс. др сци. мед Тамара Јемцов</t>
  </si>
  <si>
    <t>Клинички асистент</t>
  </si>
  <si>
    <t>5.</t>
  </si>
  <si>
    <t>Асс. прим. др сци. Зорица Цветковић</t>
  </si>
  <si>
    <t>да</t>
  </si>
  <si>
    <t>6.</t>
  </si>
  <si>
    <t>Проф др Милан Јовановић</t>
  </si>
  <si>
    <t>7.</t>
  </si>
  <si>
    <t>Проф. др Миле Штрбац</t>
  </si>
  <si>
    <t>8.</t>
  </si>
  <si>
    <t>Проф. др Александар Нешковић</t>
  </si>
  <si>
    <t>9.</t>
  </si>
  <si>
    <t>Доц. др Дејан Стевановић</t>
  </si>
  <si>
    <t>Доцент Универзитета</t>
  </si>
  <si>
    <t>10.</t>
  </si>
  <si>
    <t>Доц. др Миодраг Вукчевић</t>
  </si>
  <si>
    <t>11.</t>
  </si>
  <si>
    <t>Асс. др сци. мед. др Ратко Томашевић</t>
  </si>
  <si>
    <t>Асистент универзитета</t>
  </si>
  <si>
    <t>Уговор о ангажовању за извођење наставе (није радни однос)</t>
  </si>
  <si>
    <t>12.</t>
  </si>
  <si>
    <t>Асс. др сци. мед. Радосав Видаковић</t>
  </si>
  <si>
    <t>13.</t>
  </si>
  <si>
    <t>Асс. мр сци. мед. др Иван Илић</t>
  </si>
  <si>
    <t>14.</t>
  </si>
  <si>
    <t>Асс. др сци мед. Биљана Лазовић-Поповић</t>
  </si>
  <si>
    <t>15.</t>
  </si>
  <si>
    <t>Асс. др сци. мед.  Зоран Глувић</t>
  </si>
  <si>
    <t>16.</t>
  </si>
  <si>
    <t>Асс. прим. др сци. мед Небојша Митровић</t>
  </si>
  <si>
    <t>17.</t>
  </si>
  <si>
    <t>Асс. прим. др Дамир Јашаровић</t>
  </si>
  <si>
    <t>18.</t>
  </si>
  <si>
    <t>Асс. др Иван Станковић</t>
  </si>
</sst>
</file>

<file path=xl/styles.xml><?xml version="1.0" encoding="utf-8"?>
<styleSheet xmlns="http://schemas.openxmlformats.org/spreadsheetml/2006/main">
  <numFmts count="32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,##0.00\ &quot;$&quot;_-;\-* #,##0.00\ &quot;$&quot;_-;_-* &quot;-&quot;??\ &quot;$&quot;_-;_-@_-"/>
    <numFmt numFmtId="183" formatCode="_-* #,##0.00\ _$_-;\-* #,##0.00\ _$_-;_-* &quot;-&quot;??\ _$_-;_-@_-"/>
    <numFmt numFmtId="184" formatCode="0.0"/>
    <numFmt numFmtId="185" formatCode="_)@"/>
    <numFmt numFmtId="186" formatCode="0;0;;@"/>
    <numFmt numFmtId="187" formatCode="#,##0.0"/>
  </numFmts>
  <fonts count="88">
    <font>
      <sz val="10"/>
      <name val="HelveticaPlain"/>
      <family val="0"/>
    </font>
    <font>
      <b/>
      <sz val="10"/>
      <name val="HelveticaPlain"/>
      <family val="0"/>
    </font>
    <font>
      <i/>
      <sz val="10"/>
      <name val="HelveticaPlain"/>
      <family val="0"/>
    </font>
    <font>
      <b/>
      <i/>
      <sz val="10"/>
      <name val="HelveticaPlain"/>
      <family val="0"/>
    </font>
    <font>
      <u val="single"/>
      <sz val="10"/>
      <color indexed="12"/>
      <name val="HelveticaPlain"/>
      <family val="0"/>
    </font>
    <font>
      <u val="single"/>
      <sz val="10"/>
      <color indexed="36"/>
      <name val="HelveticaPlain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HelveticaPlain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12"/>
      <name val="Arial"/>
      <family val="2"/>
    </font>
    <font>
      <sz val="10"/>
      <name val="Cambria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9"/>
      <name val="Cambria"/>
      <family val="1"/>
    </font>
    <font>
      <sz val="9"/>
      <name val="HelveticaPla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8"/>
      <color indexed="63"/>
      <name val="Calibri"/>
      <family val="1"/>
    </font>
    <font>
      <sz val="8"/>
      <name val="Calibri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57"/>
      <name val="Cambria"/>
      <family val="1"/>
    </font>
    <font>
      <b/>
      <sz val="11"/>
      <name val="Cambria"/>
      <family val="1"/>
    </font>
    <font>
      <sz val="9"/>
      <color indexed="10"/>
      <name val="Cambria"/>
      <family val="1"/>
    </font>
    <font>
      <b/>
      <sz val="9"/>
      <color indexed="10"/>
      <name val="Times New Roman"/>
      <family val="1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theme="1" tint="0.14996999502182007"/>
      <name val="Calibri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4" tint="-0.4999699890613556"/>
      <name val="Cambria"/>
      <family val="1"/>
    </font>
    <font>
      <sz val="9"/>
      <color rgb="FFFF0000"/>
      <name val="Cambria"/>
      <family val="1"/>
    </font>
    <font>
      <b/>
      <sz val="9"/>
      <color rgb="FFFF0000"/>
      <name val="Times New Roman"/>
      <family val="1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Cambria"/>
      <family val="1"/>
    </font>
    <font>
      <b/>
      <sz val="8"/>
      <name val="HelveticaPlai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3" tint="0.5999600291252136"/>
      </left>
      <right>
        <color indexed="63"/>
      </right>
      <top style="thin">
        <color theme="3" tint="0.5999600291252136"/>
      </top>
      <bottom style="thin">
        <color theme="3" tint="0.5999600291252136"/>
      </bottom>
    </border>
    <border>
      <left>
        <color indexed="63"/>
      </left>
      <right>
        <color indexed="63"/>
      </right>
      <top style="thin">
        <color theme="3" tint="0.5999600291252136"/>
      </top>
      <bottom style="thin">
        <color theme="3" tint="0.5999600291252136"/>
      </bottom>
    </border>
    <border>
      <left>
        <color indexed="63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3" tint="0.5999600291252136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theme="3" tint="0.5999600291252136"/>
      </left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>
      <alignment horizontal="left" vertical="center" indent="1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8" fillId="0" borderId="0">
      <alignment/>
      <protection/>
    </xf>
    <xf numFmtId="0" fontId="17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2" borderId="9">
      <alignment vertical="center"/>
      <protection/>
    </xf>
    <xf numFmtId="0" fontId="45" fillId="0" borderId="9">
      <alignment horizontal="left" vertical="center" wrapText="1"/>
      <protection locked="0"/>
    </xf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11" fillId="0" borderId="0" xfId="58" applyFont="1" applyProtection="1">
      <alignment/>
      <protection/>
    </xf>
    <xf numFmtId="0" fontId="7" fillId="0" borderId="0" xfId="58" applyFont="1" applyAlignment="1" applyProtection="1">
      <alignment/>
      <protection/>
    </xf>
    <xf numFmtId="3" fontId="11" fillId="0" borderId="0" xfId="58" applyNumberFormat="1" applyFont="1" applyProtection="1">
      <alignment/>
      <protection/>
    </xf>
    <xf numFmtId="0" fontId="11" fillId="0" borderId="0" xfId="58" applyFont="1" applyAlignment="1" applyProtection="1">
      <alignment horizontal="center" vertical="center" wrapText="1"/>
      <protection/>
    </xf>
    <xf numFmtId="0" fontId="6" fillId="0" borderId="0" xfId="58" applyFont="1" applyProtection="1">
      <alignment/>
      <protection/>
    </xf>
    <xf numFmtId="3" fontId="11" fillId="0" borderId="0" xfId="58" applyNumberFormat="1" applyFont="1" applyAlignment="1" applyProtection="1">
      <alignment horizontal="center" vertical="center" wrapText="1"/>
      <protection/>
    </xf>
    <xf numFmtId="0" fontId="6" fillId="0" borderId="0" xfId="58" applyFont="1" applyAlignment="1" applyProtection="1">
      <alignment horizontal="center" wrapText="1"/>
      <protection/>
    </xf>
    <xf numFmtId="0" fontId="6" fillId="0" borderId="0" xfId="58" applyFont="1" applyAlignment="1" applyProtection="1">
      <alignment wrapText="1"/>
      <protection/>
    </xf>
    <xf numFmtId="0" fontId="11" fillId="0" borderId="0" xfId="58" applyFont="1" applyFill="1" applyProtection="1">
      <alignment/>
      <protection/>
    </xf>
    <xf numFmtId="0" fontId="4" fillId="33" borderId="0" xfId="54" applyFill="1" applyAlignment="1" applyProtection="1">
      <alignment/>
      <protection/>
    </xf>
    <xf numFmtId="0" fontId="6" fillId="0" borderId="0" xfId="58" applyFont="1" applyFill="1" applyProtection="1">
      <alignment/>
      <protection/>
    </xf>
    <xf numFmtId="3" fontId="7" fillId="0" borderId="0" xfId="58" applyNumberFormat="1" applyFont="1" applyProtection="1">
      <alignment/>
      <protection/>
    </xf>
    <xf numFmtId="0" fontId="7" fillId="0" borderId="0" xfId="58" applyFont="1" applyProtection="1">
      <alignment/>
      <protection/>
    </xf>
    <xf numFmtId="0" fontId="6" fillId="0" borderId="0" xfId="58" applyFont="1" applyAlignment="1" applyProtection="1">
      <alignment horizontal="right"/>
      <protection/>
    </xf>
    <xf numFmtId="0" fontId="6" fillId="0" borderId="0" xfId="58" applyFont="1" applyAlignment="1" applyProtection="1">
      <alignment horizontal="center" vertical="center" wrapText="1"/>
      <protection/>
    </xf>
    <xf numFmtId="0" fontId="10" fillId="0" borderId="0" xfId="58" applyFont="1" applyProtection="1">
      <alignment/>
      <protection/>
    </xf>
    <xf numFmtId="0" fontId="11" fillId="0" borderId="0" xfId="58" applyFont="1" applyAlignment="1" applyProtection="1">
      <alignment/>
      <protection/>
    </xf>
    <xf numFmtId="0" fontId="6" fillId="0" borderId="0" xfId="65" applyFont="1" applyProtection="1">
      <alignment/>
      <protection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76" fillId="0" borderId="10" xfId="74" applyAlignment="1">
      <alignment/>
    </xf>
    <xf numFmtId="0" fontId="76" fillId="0" borderId="10" xfId="74" applyAlignment="1">
      <alignment vertical="center" wrapText="1"/>
    </xf>
    <xf numFmtId="0" fontId="11" fillId="0" borderId="0" xfId="58" applyFont="1" applyFill="1" applyAlignment="1" applyProtection="1">
      <alignment horizontal="center" vertical="center"/>
      <protection/>
    </xf>
    <xf numFmtId="0" fontId="6" fillId="0" borderId="0" xfId="58" applyFont="1" applyAlignment="1" applyProtection="1">
      <alignment horizontal="center"/>
      <protection/>
    </xf>
    <xf numFmtId="49" fontId="8" fillId="0" borderId="0" xfId="58" applyNumberFormat="1" applyFont="1" applyFill="1" applyProtection="1">
      <alignment/>
      <protection/>
    </xf>
    <xf numFmtId="0" fontId="8" fillId="0" borderId="0" xfId="58" applyFont="1" applyAlignment="1" applyProtection="1">
      <alignment horizontal="left"/>
      <protection/>
    </xf>
    <xf numFmtId="0" fontId="6" fillId="0" borderId="0" xfId="58" applyFont="1" applyBorder="1" applyAlignment="1" applyProtection="1">
      <alignment wrapText="1"/>
      <protection/>
    </xf>
    <xf numFmtId="0" fontId="6" fillId="0" borderId="0" xfId="58" applyFont="1" applyBorder="1" applyAlignment="1" applyProtection="1">
      <alignment horizontal="center" wrapText="1"/>
      <protection/>
    </xf>
    <xf numFmtId="0" fontId="15" fillId="0" borderId="0" xfId="58" applyFont="1" applyFill="1" applyBorder="1" applyAlignment="1" applyProtection="1">
      <alignment horizontal="left" wrapText="1"/>
      <protection/>
    </xf>
    <xf numFmtId="0" fontId="15" fillId="0" borderId="0" xfId="58" applyFont="1" applyFill="1" applyBorder="1" applyAlignment="1" applyProtection="1">
      <alignment horizontal="left"/>
      <protection/>
    </xf>
    <xf numFmtId="0" fontId="14" fillId="0" borderId="11" xfId="58" applyFont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58" applyFont="1" applyProtection="1">
      <alignment/>
      <protection/>
    </xf>
    <xf numFmtId="0" fontId="8" fillId="0" borderId="0" xfId="67" applyFont="1" applyAlignment="1" applyProtection="1">
      <alignment horizontal="right"/>
      <protection/>
    </xf>
    <xf numFmtId="0" fontId="14" fillId="0" borderId="11" xfId="58" applyFont="1" applyBorder="1" applyAlignment="1" applyProtection="1">
      <alignment vertical="center" wrapText="1"/>
      <protection/>
    </xf>
    <xf numFmtId="0" fontId="8" fillId="0" borderId="0" xfId="58" applyNumberFormat="1" applyFont="1" applyFill="1" applyProtection="1">
      <alignment/>
      <protection/>
    </xf>
    <xf numFmtId="0" fontId="15" fillId="0" borderId="0" xfId="58" applyFont="1" applyFill="1" applyBorder="1" applyAlignment="1" applyProtection="1">
      <alignment wrapText="1"/>
      <protection/>
    </xf>
    <xf numFmtId="185" fontId="78" fillId="2" borderId="12" xfId="71" applyNumberFormat="1" applyFont="1" applyFill="1" applyBorder="1" applyProtection="1">
      <alignment vertical="center"/>
      <protection/>
    </xf>
    <xf numFmtId="185" fontId="78" fillId="2" borderId="12" xfId="71" applyNumberFormat="1" applyFont="1" applyFill="1" applyBorder="1" applyAlignment="1" applyProtection="1">
      <alignment horizontal="right" vertical="center"/>
      <protection/>
    </xf>
    <xf numFmtId="186" fontId="49" fillId="0" borderId="13" xfId="72" applyNumberFormat="1" applyFont="1" applyBorder="1" applyAlignment="1" applyProtection="1">
      <alignment horizontal="left" vertical="center"/>
      <protection/>
    </xf>
    <xf numFmtId="186" fontId="28" fillId="0" borderId="14" xfId="72" applyNumberFormat="1" applyFont="1" applyBorder="1" applyAlignment="1" applyProtection="1">
      <alignment horizontal="left" vertical="center" indent="1"/>
      <protection/>
    </xf>
    <xf numFmtId="186" fontId="49" fillId="0" borderId="14" xfId="72" applyNumberFormat="1" applyFont="1" applyBorder="1" applyAlignment="1" applyProtection="1">
      <alignment horizontal="left" vertical="center"/>
      <protection/>
    </xf>
    <xf numFmtId="186" fontId="28" fillId="0" borderId="15" xfId="72" applyNumberFormat="1" applyFont="1" applyBorder="1" applyAlignment="1" applyProtection="1">
      <alignment horizontal="left" vertical="center" indent="1"/>
      <protection/>
    </xf>
    <xf numFmtId="186" fontId="49" fillId="0" borderId="15" xfId="72" applyNumberFormat="1" applyFont="1" applyBorder="1" applyAlignment="1" applyProtection="1">
      <alignment horizontal="left" vertical="center"/>
      <protection/>
    </xf>
    <xf numFmtId="185" fontId="78" fillId="2" borderId="13" xfId="71" applyNumberFormat="1" applyFont="1" applyFill="1" applyBorder="1" applyProtection="1">
      <alignment vertical="center"/>
      <protection/>
    </xf>
    <xf numFmtId="185" fontId="78" fillId="2" borderId="15" xfId="71" applyNumberFormat="1" applyFont="1" applyFill="1" applyBorder="1" applyAlignment="1" applyProtection="1">
      <alignment horizontal="right" vertical="center"/>
      <protection/>
    </xf>
    <xf numFmtId="0" fontId="14" fillId="33" borderId="11" xfId="58" applyFont="1" applyFill="1" applyBorder="1" applyAlignment="1" applyProtection="1">
      <alignment horizontal="center" vertical="center" wrapText="1"/>
      <protection locked="0"/>
    </xf>
    <xf numFmtId="0" fontId="14" fillId="33" borderId="11" xfId="0" applyFont="1" applyFill="1" applyBorder="1" applyAlignment="1" applyProtection="1">
      <alignment horizontal="left" vertical="center" wrapText="1"/>
      <protection/>
    </xf>
    <xf numFmtId="0" fontId="14" fillId="33" borderId="11" xfId="0" applyFont="1" applyFill="1" applyBorder="1" applyAlignment="1" applyProtection="1">
      <alignment horizontal="left" wrapText="1"/>
      <protection/>
    </xf>
    <xf numFmtId="0" fontId="14" fillId="0" borderId="11" xfId="58" applyFont="1" applyBorder="1" applyProtection="1">
      <alignment/>
      <protection locked="0"/>
    </xf>
    <xf numFmtId="0" fontId="14" fillId="0" borderId="11" xfId="65" applyFont="1" applyBorder="1" applyProtection="1">
      <alignment/>
      <protection locked="0"/>
    </xf>
    <xf numFmtId="0" fontId="16" fillId="34" borderId="11" xfId="65" applyFont="1" applyFill="1" applyBorder="1" applyAlignment="1" applyProtection="1">
      <alignment horizontal="right" vertical="center"/>
      <protection/>
    </xf>
    <xf numFmtId="0" fontId="14" fillId="34" borderId="11" xfId="58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textRotation="90" wrapText="1"/>
      <protection/>
    </xf>
    <xf numFmtId="186" fontId="28" fillId="0" borderId="0" xfId="72" applyNumberFormat="1" applyFont="1" applyBorder="1" applyAlignment="1" applyProtection="1">
      <alignment horizontal="left" vertical="center" indent="1"/>
      <protection/>
    </xf>
    <xf numFmtId="186" fontId="49" fillId="0" borderId="0" xfId="72" applyNumberFormat="1" applyFont="1" applyBorder="1" applyAlignment="1" applyProtection="1">
      <alignment horizontal="left" vertical="center"/>
      <protection/>
    </xf>
    <xf numFmtId="0" fontId="16" fillId="34" borderId="11" xfId="66" applyFont="1" applyFill="1" applyBorder="1" applyAlignment="1" applyProtection="1">
      <alignment horizontal="right"/>
      <protection locked="0"/>
    </xf>
    <xf numFmtId="1" fontId="11" fillId="0" borderId="0" xfId="58" applyNumberFormat="1" applyFont="1" applyProtection="1">
      <alignment/>
      <protection/>
    </xf>
    <xf numFmtId="0" fontId="14" fillId="35" borderId="11" xfId="58" applyFont="1" applyFill="1" applyBorder="1" applyAlignment="1" applyProtection="1">
      <alignment horizontal="center" vertical="center" wrapText="1"/>
      <protection/>
    </xf>
    <xf numFmtId="186" fontId="28" fillId="0" borderId="13" xfId="72" applyNumberFormat="1" applyFont="1" applyBorder="1" applyAlignment="1" applyProtection="1">
      <alignment vertical="center"/>
      <protection/>
    </xf>
    <xf numFmtId="0" fontId="14" fillId="7" borderId="11" xfId="0" applyFont="1" applyFill="1" applyBorder="1" applyAlignment="1" applyProtection="1">
      <alignment horizontal="left" vertical="center" wrapText="1"/>
      <protection locked="0"/>
    </xf>
    <xf numFmtId="0" fontId="14" fillId="7" borderId="11" xfId="0" applyFont="1" applyFill="1" applyBorder="1" applyAlignment="1" applyProtection="1">
      <alignment horizontal="center" vertical="center" wrapText="1"/>
      <protection locked="0"/>
    </xf>
    <xf numFmtId="0" fontId="14" fillId="13" borderId="11" xfId="0" applyFont="1" applyFill="1" applyBorder="1" applyAlignment="1" applyProtection="1">
      <alignment horizontal="center" vertical="center" wrapText="1"/>
      <protection locked="0"/>
    </xf>
    <xf numFmtId="3" fontId="14" fillId="1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13" borderId="11" xfId="0" applyFont="1" applyFill="1" applyBorder="1" applyAlignment="1" applyProtection="1">
      <alignment horizontal="center" vertical="center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3" fontId="14" fillId="36" borderId="11" xfId="0" applyNumberFormat="1" applyFont="1" applyFill="1" applyBorder="1" applyAlignment="1" applyProtection="1">
      <alignment horizontal="center" vertical="center"/>
      <protection/>
    </xf>
    <xf numFmtId="0" fontId="14" fillId="36" borderId="11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3" fontId="15" fillId="36" borderId="11" xfId="0" applyNumberFormat="1" applyFont="1" applyFill="1" applyBorder="1" applyAlignment="1" applyProtection="1">
      <alignment horizontal="center" vertical="center" textRotation="90" wrapText="1"/>
      <protection/>
    </xf>
    <xf numFmtId="184" fontId="18" fillId="36" borderId="11" xfId="59" applyNumberFormat="1" applyFont="1" applyFill="1" applyBorder="1" applyAlignment="1" applyProtection="1">
      <alignment horizontal="center" vertical="center" wrapText="1"/>
      <protection locked="0"/>
    </xf>
    <xf numFmtId="3" fontId="14" fillId="36" borderId="11" xfId="0" applyNumberFormat="1" applyFont="1" applyFill="1" applyBorder="1" applyAlignment="1" applyProtection="1">
      <alignment horizontal="center" vertical="center" wrapText="1"/>
      <protection locked="0"/>
    </xf>
    <xf numFmtId="3" fontId="14" fillId="36" borderId="11" xfId="0" applyNumberFormat="1" applyFont="1" applyFill="1" applyBorder="1" applyAlignment="1" applyProtection="1">
      <alignment horizontal="center" vertical="center" wrapText="1"/>
      <protection/>
    </xf>
    <xf numFmtId="184" fontId="18" fillId="36" borderId="11" xfId="59" applyNumberFormat="1" applyFont="1" applyFill="1" applyBorder="1" applyAlignment="1" applyProtection="1">
      <alignment horizontal="center" vertical="center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1" fontId="16" fillId="7" borderId="11" xfId="0" applyNumberFormat="1" applyFont="1" applyFill="1" applyBorder="1" applyAlignment="1" applyProtection="1">
      <alignment horizontal="center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1" fontId="16" fillId="36" borderId="11" xfId="0" applyNumberFormat="1" applyFont="1" applyFill="1" applyBorder="1" applyAlignment="1" applyProtection="1">
      <alignment horizontal="center" vertical="center" wrapText="1"/>
      <protection/>
    </xf>
    <xf numFmtId="0" fontId="14" fillId="7" borderId="11" xfId="58" applyFont="1" applyFill="1" applyBorder="1" applyAlignment="1" applyProtection="1">
      <alignment horizontal="center" vertical="center" wrapText="1"/>
      <protection locked="0"/>
    </xf>
    <xf numFmtId="0" fontId="14" fillId="7" borderId="11" xfId="58" applyFont="1" applyFill="1" applyBorder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textRotation="90" wrapText="1"/>
      <protection/>
    </xf>
    <xf numFmtId="184" fontId="22" fillId="36" borderId="16" xfId="64" applyNumberFormat="1" applyFont="1" applyFill="1" applyBorder="1" applyAlignment="1" applyProtection="1">
      <alignment horizontal="center" vertical="center" wrapText="1"/>
      <protection locked="0"/>
    </xf>
    <xf numFmtId="0" fontId="6" fillId="36" borderId="17" xfId="0" applyFont="1" applyFill="1" applyBorder="1" applyAlignment="1" applyProtection="1">
      <alignment horizontal="center" wrapText="1"/>
      <protection locked="0"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184" fontId="14" fillId="36" borderId="11" xfId="58" applyNumberFormat="1" applyFont="1" applyFill="1" applyBorder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3" fontId="15" fillId="36" borderId="11" xfId="58" applyNumberFormat="1" applyFont="1" applyFill="1" applyBorder="1" applyAlignment="1" applyProtection="1">
      <alignment horizontal="center" vertical="center" textRotation="90" wrapText="1"/>
      <protection/>
    </xf>
    <xf numFmtId="3" fontId="14" fillId="36" borderId="11" xfId="58" applyNumberFormat="1" applyFont="1" applyFill="1" applyBorder="1" applyAlignment="1" applyProtection="1">
      <alignment horizontal="center" vertical="center" wrapText="1"/>
      <protection/>
    </xf>
    <xf numFmtId="0" fontId="15" fillId="36" borderId="11" xfId="66" applyFont="1" applyFill="1" applyBorder="1" applyAlignment="1" applyProtection="1">
      <alignment horizontal="center" vertical="center" wrapText="1"/>
      <protection/>
    </xf>
    <xf numFmtId="0" fontId="14" fillId="36" borderId="11" xfId="66" applyFont="1" applyFill="1" applyBorder="1" applyAlignment="1" applyProtection="1">
      <alignment horizontal="right"/>
      <protection locked="0"/>
    </xf>
    <xf numFmtId="0" fontId="14" fillId="36" borderId="11" xfId="66" applyFont="1" applyFill="1" applyBorder="1" applyAlignment="1" applyProtection="1">
      <alignment horizontal="right"/>
      <protection/>
    </xf>
    <xf numFmtId="0" fontId="16" fillId="36" borderId="11" xfId="66" applyFont="1" applyFill="1" applyBorder="1" applyAlignment="1" applyProtection="1">
      <alignment horizontal="right"/>
      <protection/>
    </xf>
    <xf numFmtId="0" fontId="14" fillId="36" borderId="11" xfId="66" applyFont="1" applyFill="1" applyBorder="1" applyAlignment="1" applyProtection="1">
      <alignment wrapText="1"/>
      <protection locked="0"/>
    </xf>
    <xf numFmtId="0" fontId="76" fillId="36" borderId="10" xfId="74" applyFill="1" applyAlignment="1">
      <alignment vertical="center" wrapText="1"/>
    </xf>
    <xf numFmtId="0" fontId="76" fillId="36" borderId="10" xfId="74" applyFill="1" applyAlignment="1">
      <alignment/>
    </xf>
    <xf numFmtId="0" fontId="14" fillId="32" borderId="11" xfId="0" applyFont="1" applyFill="1" applyBorder="1" applyAlignment="1" applyProtection="1">
      <alignment horizontal="center" vertical="center" wrapText="1"/>
      <protection locked="0"/>
    </xf>
    <xf numFmtId="184" fontId="18" fillId="32" borderId="11" xfId="59" applyNumberFormat="1" applyFont="1" applyFill="1" applyBorder="1" applyAlignment="1" applyProtection="1">
      <alignment horizontal="center" vertical="center" wrapText="1"/>
      <protection locked="0"/>
    </xf>
    <xf numFmtId="1" fontId="76" fillId="0" borderId="10" xfId="74" applyNumberFormat="1" applyAlignment="1">
      <alignment/>
    </xf>
    <xf numFmtId="0" fontId="15" fillId="36" borderId="11" xfId="0" applyFont="1" applyFill="1" applyBorder="1" applyAlignment="1" applyProtection="1">
      <alignment horizontal="center" vertical="center" textRotation="90" wrapText="1"/>
      <protection/>
    </xf>
    <xf numFmtId="184" fontId="19" fillId="36" borderId="11" xfId="0" applyNumberFormat="1" applyFont="1" applyFill="1" applyBorder="1" applyAlignment="1" applyProtection="1">
      <alignment horizontal="center" vertical="center" wrapText="1"/>
      <protection locked="0"/>
    </xf>
    <xf numFmtId="184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3" fontId="19" fillId="36" borderId="11" xfId="0" applyNumberFormat="1" applyFont="1" applyFill="1" applyBorder="1" applyAlignment="1" applyProtection="1">
      <alignment horizontal="center" vertical="center"/>
      <protection locked="0"/>
    </xf>
    <xf numFmtId="0" fontId="19" fillId="32" borderId="11" xfId="0" applyFont="1" applyFill="1" applyBorder="1" applyAlignment="1" applyProtection="1">
      <alignment horizontal="center" vertical="center"/>
      <protection locked="0"/>
    </xf>
    <xf numFmtId="0" fontId="11" fillId="2" borderId="12" xfId="58" applyFont="1" applyFill="1" applyBorder="1" applyProtection="1">
      <alignment/>
      <protection/>
    </xf>
    <xf numFmtId="186" fontId="28" fillId="0" borderId="12" xfId="72" applyNumberFormat="1" applyFont="1" applyBorder="1" applyAlignment="1" applyProtection="1">
      <alignment vertical="center"/>
      <protection/>
    </xf>
    <xf numFmtId="49" fontId="79" fillId="0" borderId="12" xfId="72" applyNumberFormat="1" applyFont="1" applyFill="1" applyBorder="1" applyAlignment="1" applyProtection="1">
      <alignment horizontal="left" vertical="center" wrapText="1" indent="1"/>
      <protection locked="0"/>
    </xf>
    <xf numFmtId="49" fontId="28" fillId="0" borderId="12" xfId="72" applyNumberFormat="1" applyFont="1" applyFill="1" applyBorder="1" applyAlignment="1" applyProtection="1">
      <alignment horizontal="left" vertical="center" wrapText="1" indent="1"/>
      <protection locked="0"/>
    </xf>
    <xf numFmtId="186" fontId="49" fillId="0" borderId="12" xfId="72" applyNumberFormat="1" applyFont="1" applyBorder="1" applyAlignment="1" applyProtection="1">
      <alignment horizontal="left" vertical="center"/>
      <protection/>
    </xf>
    <xf numFmtId="186" fontId="28" fillId="0" borderId="12" xfId="72" applyNumberFormat="1" applyFont="1" applyBorder="1" applyAlignment="1" applyProtection="1">
      <alignment horizontal="right" vertical="center"/>
      <protection/>
    </xf>
    <xf numFmtId="0" fontId="22" fillId="7" borderId="11" xfId="58" applyFont="1" applyFill="1" applyBorder="1" applyAlignment="1" applyProtection="1">
      <alignment horizontal="center" vertical="center"/>
      <protection/>
    </xf>
    <xf numFmtId="0" fontId="22" fillId="0" borderId="11" xfId="58" applyFont="1" applyBorder="1" applyAlignment="1" applyProtection="1">
      <alignment horizontal="center" vertical="center"/>
      <protection/>
    </xf>
    <xf numFmtId="0" fontId="22" fillId="35" borderId="11" xfId="58" applyFont="1" applyFill="1" applyBorder="1" applyAlignment="1" applyProtection="1">
      <alignment horizontal="center" vertical="center"/>
      <protection/>
    </xf>
    <xf numFmtId="0" fontId="14" fillId="35" borderId="11" xfId="0" applyFont="1" applyFill="1" applyBorder="1" applyAlignment="1" applyProtection="1">
      <alignment horizontal="center" vertic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3" fontId="14" fillId="35" borderId="11" xfId="0" applyNumberFormat="1" applyFont="1" applyFill="1" applyBorder="1" applyAlignment="1" applyProtection="1">
      <alignment horizontal="center" vertical="center" wrapText="1"/>
      <protection/>
    </xf>
    <xf numFmtId="184" fontId="19" fillId="36" borderId="18" xfId="0" applyNumberFormat="1" applyFont="1" applyFill="1" applyBorder="1" applyAlignment="1" applyProtection="1">
      <alignment horizontal="center" vertical="center" wrapText="1"/>
      <protection locked="0"/>
    </xf>
    <xf numFmtId="187" fontId="14" fillId="36" borderId="11" xfId="0" applyNumberFormat="1" applyFont="1" applyFill="1" applyBorder="1" applyAlignment="1" applyProtection="1">
      <alignment horizontal="center" vertical="center" wrapText="1"/>
      <protection/>
    </xf>
    <xf numFmtId="187" fontId="14" fillId="36" borderId="11" xfId="0" applyNumberFormat="1" applyFont="1" applyFill="1" applyBorder="1" applyAlignment="1" applyProtection="1">
      <alignment horizontal="center" vertical="center"/>
      <protection/>
    </xf>
    <xf numFmtId="187" fontId="16" fillId="36" borderId="11" xfId="0" applyNumberFormat="1" applyFont="1" applyFill="1" applyBorder="1" applyAlignment="1" applyProtection="1">
      <alignment horizontal="center" vertical="center"/>
      <protection/>
    </xf>
    <xf numFmtId="187" fontId="25" fillId="36" borderId="11" xfId="0" applyNumberFormat="1" applyFont="1" applyFill="1" applyBorder="1" applyAlignment="1" applyProtection="1">
      <alignment horizontal="center" vertical="center" wrapText="1"/>
      <protection/>
    </xf>
    <xf numFmtId="187" fontId="15" fillId="36" borderId="11" xfId="0" applyNumberFormat="1" applyFont="1" applyFill="1" applyBorder="1" applyAlignment="1" applyProtection="1">
      <alignment horizontal="center" vertical="center" wrapText="1"/>
      <protection/>
    </xf>
    <xf numFmtId="187" fontId="25" fillId="36" borderId="11" xfId="0" applyNumberFormat="1" applyFont="1" applyFill="1" applyBorder="1" applyAlignment="1" applyProtection="1">
      <alignment horizontal="center" vertical="center"/>
      <protection/>
    </xf>
    <xf numFmtId="184" fontId="16" fillId="32" borderId="11" xfId="0" applyNumberFormat="1" applyFont="1" applyFill="1" applyBorder="1" applyAlignment="1" applyProtection="1">
      <alignment horizontal="center" vertical="center" wrapText="1"/>
      <protection/>
    </xf>
    <xf numFmtId="184" fontId="16" fillId="36" borderId="11" xfId="0" applyNumberFormat="1" applyFont="1" applyFill="1" applyBorder="1" applyAlignment="1" applyProtection="1">
      <alignment horizontal="center" vertical="center" wrapText="1"/>
      <protection/>
    </xf>
    <xf numFmtId="184" fontId="16" fillId="36" borderId="11" xfId="0" applyNumberFormat="1" applyFont="1" applyFill="1" applyBorder="1" applyAlignment="1" applyProtection="1">
      <alignment horizontal="center" vertical="center"/>
      <protection/>
    </xf>
    <xf numFmtId="184" fontId="14" fillId="36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18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0" xfId="74" applyFill="1" applyAlignment="1" applyProtection="1">
      <alignment/>
      <protection locked="0"/>
    </xf>
    <xf numFmtId="0" fontId="76" fillId="0" borderId="19" xfId="74" applyFill="1" applyBorder="1" applyAlignment="1" applyProtection="1">
      <alignment/>
      <protection locked="0"/>
    </xf>
    <xf numFmtId="1" fontId="18" fillId="36" borderId="11" xfId="59" applyNumberFormat="1" applyFont="1" applyFill="1" applyBorder="1" applyAlignment="1" applyProtection="1">
      <alignment horizontal="center" vertical="center" wrapText="1"/>
      <protection locked="0"/>
    </xf>
    <xf numFmtId="1" fontId="80" fillId="36" borderId="11" xfId="59" applyNumberFormat="1" applyFont="1" applyFill="1" applyBorder="1" applyAlignment="1" applyProtection="1">
      <alignment horizontal="center" vertical="center" wrapText="1"/>
      <protection locked="0"/>
    </xf>
    <xf numFmtId="1" fontId="19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8" fillId="37" borderId="11" xfId="59" applyNumberFormat="1" applyFont="1" applyFill="1" applyBorder="1" applyAlignment="1" applyProtection="1">
      <alignment horizontal="center" vertical="center" wrapText="1"/>
      <protection locked="0"/>
    </xf>
    <xf numFmtId="1" fontId="80" fillId="37" borderId="11" xfId="59" applyNumberFormat="1" applyFont="1" applyFill="1" applyBorder="1" applyAlignment="1" applyProtection="1">
      <alignment horizontal="center" vertical="center" wrapText="1"/>
      <protection locked="0"/>
    </xf>
    <xf numFmtId="1" fontId="19" fillId="37" borderId="11" xfId="0" applyNumberFormat="1" applyFont="1" applyFill="1" applyBorder="1" applyAlignment="1" applyProtection="1">
      <alignment horizontal="center" vertical="center" wrapText="1"/>
      <protection locked="0"/>
    </xf>
    <xf numFmtId="1" fontId="26" fillId="36" borderId="11" xfId="59" applyNumberFormat="1" applyFont="1" applyFill="1" applyBorder="1" applyAlignment="1" applyProtection="1">
      <alignment horizontal="center" vertical="center" wrapText="1"/>
      <protection locked="0"/>
    </xf>
    <xf numFmtId="1" fontId="18" fillId="36" borderId="11" xfId="59" applyNumberFormat="1" applyFont="1" applyFill="1" applyBorder="1" applyAlignment="1" applyProtection="1">
      <alignment horizontal="center" vertical="center"/>
      <protection locked="0"/>
    </xf>
    <xf numFmtId="1" fontId="80" fillId="36" borderId="11" xfId="59" applyNumberFormat="1" applyFont="1" applyFill="1" applyBorder="1" applyAlignment="1" applyProtection="1">
      <alignment horizontal="center" vertical="center"/>
      <protection locked="0"/>
    </xf>
    <xf numFmtId="0" fontId="6" fillId="36" borderId="0" xfId="58" applyFont="1" applyFill="1" applyAlignment="1" applyProtection="1">
      <alignment horizontal="center" vertical="center" wrapText="1"/>
      <protection/>
    </xf>
    <xf numFmtId="1" fontId="14" fillId="36" borderId="11" xfId="0" applyNumberFormat="1" applyFont="1" applyFill="1" applyBorder="1" applyAlignment="1" applyProtection="1">
      <alignment horizontal="center" vertical="center" wrapText="1"/>
      <protection/>
    </xf>
    <xf numFmtId="1" fontId="14" fillId="35" borderId="11" xfId="0" applyNumberFormat="1" applyFont="1" applyFill="1" applyBorder="1" applyAlignment="1" applyProtection="1">
      <alignment horizontal="center" vertical="center" wrapText="1"/>
      <protection/>
    </xf>
    <xf numFmtId="187" fontId="81" fillId="36" borderId="11" xfId="0" applyNumberFormat="1" applyFont="1" applyFill="1" applyBorder="1" applyAlignment="1" applyProtection="1">
      <alignment horizontal="center" vertical="center"/>
      <protection/>
    </xf>
    <xf numFmtId="184" fontId="18" fillId="36" borderId="18" xfId="59" applyNumberFormat="1" applyFont="1" applyFill="1" applyBorder="1" applyAlignment="1" applyProtection="1">
      <alignment horizontal="center" vertical="center" wrapText="1"/>
      <protection locked="0"/>
    </xf>
    <xf numFmtId="3" fontId="14" fillId="36" borderId="18" xfId="0" applyNumberFormat="1" applyFont="1" applyFill="1" applyBorder="1" applyAlignment="1" applyProtection="1">
      <alignment horizontal="center" vertical="center" wrapText="1"/>
      <protection locked="0"/>
    </xf>
    <xf numFmtId="187" fontId="14" fillId="36" borderId="18" xfId="0" applyNumberFormat="1" applyFont="1" applyFill="1" applyBorder="1" applyAlignment="1" applyProtection="1">
      <alignment horizontal="center" vertical="center" wrapText="1"/>
      <protection/>
    </xf>
    <xf numFmtId="187" fontId="14" fillId="36" borderId="18" xfId="0" applyNumberFormat="1" applyFont="1" applyFill="1" applyBorder="1" applyAlignment="1" applyProtection="1">
      <alignment horizontal="center" vertical="center"/>
      <protection/>
    </xf>
    <xf numFmtId="184" fontId="18" fillId="36" borderId="17" xfId="59" applyNumberFormat="1" applyFont="1" applyFill="1" applyBorder="1" applyAlignment="1" applyProtection="1">
      <alignment horizontal="center" vertical="center" wrapText="1"/>
      <protection locked="0"/>
    </xf>
    <xf numFmtId="3" fontId="14" fillId="36" borderId="17" xfId="0" applyNumberFormat="1" applyFont="1" applyFill="1" applyBorder="1" applyAlignment="1" applyProtection="1">
      <alignment horizontal="center" vertical="center" wrapText="1"/>
      <protection locked="0"/>
    </xf>
    <xf numFmtId="187" fontId="14" fillId="36" borderId="17" xfId="0" applyNumberFormat="1" applyFont="1" applyFill="1" applyBorder="1" applyAlignment="1" applyProtection="1">
      <alignment horizontal="center" vertical="center" wrapText="1"/>
      <protection/>
    </xf>
    <xf numFmtId="187" fontId="14" fillId="36" borderId="17" xfId="0" applyNumberFormat="1" applyFont="1" applyFill="1" applyBorder="1" applyAlignment="1" applyProtection="1">
      <alignment horizontal="center" vertical="center"/>
      <protection/>
    </xf>
    <xf numFmtId="184" fontId="18" fillId="36" borderId="20" xfId="59" applyNumberFormat="1" applyFont="1" applyFill="1" applyBorder="1" applyAlignment="1" applyProtection="1">
      <alignment horizontal="center" vertical="center" wrapText="1"/>
      <protection locked="0"/>
    </xf>
    <xf numFmtId="184" fontId="18" fillId="36" borderId="21" xfId="59" applyNumberFormat="1" applyFont="1" applyFill="1" applyBorder="1" applyAlignment="1" applyProtection="1">
      <alignment horizontal="center" vertical="center" wrapText="1"/>
      <protection locked="0"/>
    </xf>
    <xf numFmtId="3" fontId="14" fillId="36" borderId="21" xfId="0" applyNumberFormat="1" applyFont="1" applyFill="1" applyBorder="1" applyAlignment="1" applyProtection="1">
      <alignment horizontal="center" vertical="center" wrapText="1"/>
      <protection locked="0"/>
    </xf>
    <xf numFmtId="187" fontId="14" fillId="36" borderId="21" xfId="0" applyNumberFormat="1" applyFont="1" applyFill="1" applyBorder="1" applyAlignment="1" applyProtection="1">
      <alignment horizontal="center" vertical="center" wrapText="1"/>
      <protection/>
    </xf>
    <xf numFmtId="187" fontId="14" fillId="36" borderId="22" xfId="0" applyNumberFormat="1" applyFont="1" applyFill="1" applyBorder="1" applyAlignment="1" applyProtection="1">
      <alignment horizontal="center" vertical="center"/>
      <protection/>
    </xf>
    <xf numFmtId="184" fontId="18" fillId="36" borderId="23" xfId="59" applyNumberFormat="1" applyFont="1" applyFill="1" applyBorder="1" applyAlignment="1" applyProtection="1">
      <alignment horizontal="center" vertical="center" wrapText="1"/>
      <protection locked="0"/>
    </xf>
    <xf numFmtId="184" fontId="18" fillId="36" borderId="24" xfId="59" applyNumberFormat="1" applyFont="1" applyFill="1" applyBorder="1" applyAlignment="1" applyProtection="1">
      <alignment horizontal="center" vertical="center" wrapText="1"/>
      <protection locked="0"/>
    </xf>
    <xf numFmtId="3" fontId="14" fillId="36" borderId="24" xfId="0" applyNumberFormat="1" applyFont="1" applyFill="1" applyBorder="1" applyAlignment="1" applyProtection="1">
      <alignment horizontal="center" vertical="center" wrapText="1"/>
      <protection locked="0"/>
    </xf>
    <xf numFmtId="187" fontId="14" fillId="36" borderId="24" xfId="0" applyNumberFormat="1" applyFont="1" applyFill="1" applyBorder="1" applyAlignment="1" applyProtection="1">
      <alignment horizontal="center" vertical="center" wrapText="1"/>
      <protection/>
    </xf>
    <xf numFmtId="187" fontId="14" fillId="36" borderId="25" xfId="0" applyNumberFormat="1" applyFont="1" applyFill="1" applyBorder="1" applyAlignment="1" applyProtection="1">
      <alignment horizontal="center" vertical="center"/>
      <protection/>
    </xf>
    <xf numFmtId="1" fontId="80" fillId="36" borderId="18" xfId="59" applyNumberFormat="1" applyFont="1" applyFill="1" applyBorder="1" applyAlignment="1" applyProtection="1">
      <alignment horizontal="center" vertical="center"/>
      <protection locked="0"/>
    </xf>
    <xf numFmtId="1" fontId="18" fillId="37" borderId="18" xfId="59" applyNumberFormat="1" applyFont="1" applyFill="1" applyBorder="1" applyAlignment="1" applyProtection="1">
      <alignment horizontal="center" vertical="center" wrapText="1"/>
      <protection locked="0"/>
    </xf>
    <xf numFmtId="1" fontId="18" fillId="36" borderId="18" xfId="59" applyNumberFormat="1" applyFont="1" applyFill="1" applyBorder="1" applyAlignment="1" applyProtection="1">
      <alignment horizontal="center" vertical="center" wrapText="1"/>
      <protection locked="0"/>
    </xf>
    <xf numFmtId="1" fontId="18" fillId="36" borderId="17" xfId="59" applyNumberFormat="1" applyFont="1" applyFill="1" applyBorder="1" applyAlignment="1" applyProtection="1">
      <alignment horizontal="center" vertical="center"/>
      <protection locked="0"/>
    </xf>
    <xf numFmtId="1" fontId="18" fillId="37" borderId="17" xfId="59" applyNumberFormat="1" applyFont="1" applyFill="1" applyBorder="1" applyAlignment="1" applyProtection="1">
      <alignment horizontal="center" vertical="center" wrapText="1"/>
      <protection locked="0"/>
    </xf>
    <xf numFmtId="1" fontId="18" fillId="36" borderId="17" xfId="59" applyNumberFormat="1" applyFont="1" applyFill="1" applyBorder="1" applyAlignment="1" applyProtection="1">
      <alignment horizontal="center" vertical="center" wrapText="1"/>
      <protection locked="0"/>
    </xf>
    <xf numFmtId="1" fontId="18" fillId="36" borderId="21" xfId="59" applyNumberFormat="1" applyFont="1" applyFill="1" applyBorder="1" applyAlignment="1" applyProtection="1">
      <alignment horizontal="center" vertical="center"/>
      <protection locked="0"/>
    </xf>
    <xf numFmtId="1" fontId="18" fillId="37" borderId="21" xfId="59" applyNumberFormat="1" applyFont="1" applyFill="1" applyBorder="1" applyAlignment="1" applyProtection="1">
      <alignment horizontal="center" vertical="center" wrapText="1"/>
      <protection locked="0"/>
    </xf>
    <xf numFmtId="1" fontId="18" fillId="36" borderId="21" xfId="59" applyNumberFormat="1" applyFont="1" applyFill="1" applyBorder="1" applyAlignment="1" applyProtection="1">
      <alignment horizontal="center" vertical="center" wrapText="1"/>
      <protection locked="0"/>
    </xf>
    <xf numFmtId="1" fontId="18" fillId="36" borderId="24" xfId="59" applyNumberFormat="1" applyFont="1" applyFill="1" applyBorder="1" applyAlignment="1" applyProtection="1">
      <alignment horizontal="center" vertical="center"/>
      <protection locked="0"/>
    </xf>
    <xf numFmtId="1" fontId="18" fillId="37" borderId="24" xfId="59" applyNumberFormat="1" applyFont="1" applyFill="1" applyBorder="1" applyAlignment="1" applyProtection="1">
      <alignment horizontal="center" vertical="center" wrapText="1"/>
      <protection locked="0"/>
    </xf>
    <xf numFmtId="1" fontId="18" fillId="36" borderId="24" xfId="59" applyNumberFormat="1" applyFont="1" applyFill="1" applyBorder="1" applyAlignment="1" applyProtection="1">
      <alignment horizontal="center" vertical="center" wrapText="1"/>
      <protection locked="0"/>
    </xf>
    <xf numFmtId="0" fontId="22" fillId="7" borderId="26" xfId="58" applyFont="1" applyFill="1" applyBorder="1" applyAlignment="1" applyProtection="1">
      <alignment horizontal="center" vertical="center"/>
      <protection/>
    </xf>
    <xf numFmtId="0" fontId="14" fillId="7" borderId="18" xfId="0" applyFont="1" applyFill="1" applyBorder="1" applyAlignment="1" applyProtection="1">
      <alignment horizontal="left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 locked="0"/>
    </xf>
    <xf numFmtId="0" fontId="14" fillId="7" borderId="17" xfId="0" applyFont="1" applyFill="1" applyBorder="1" applyAlignment="1" applyProtection="1">
      <alignment horizontal="left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38" borderId="11" xfId="0" applyFont="1" applyFill="1" applyBorder="1" applyAlignment="1" applyProtection="1">
      <alignment horizontal="center" vertical="center" wrapText="1"/>
      <protection locked="0"/>
    </xf>
    <xf numFmtId="0" fontId="14" fillId="38" borderId="11" xfId="0" applyFont="1" applyFill="1" applyBorder="1" applyAlignment="1" applyProtection="1">
      <alignment horizontal="center" vertical="center" wrapText="1"/>
      <protection/>
    </xf>
    <xf numFmtId="0" fontId="16" fillId="38" borderId="11" xfId="0" applyFont="1" applyFill="1" applyBorder="1" applyAlignment="1" applyProtection="1">
      <alignment horizontal="center" vertical="center" wrapText="1"/>
      <protection locked="0"/>
    </xf>
    <xf numFmtId="0" fontId="16" fillId="38" borderId="11" xfId="0" applyFont="1" applyFill="1" applyBorder="1" applyAlignment="1" applyProtection="1">
      <alignment horizontal="center" vertical="center" wrapText="1"/>
      <protection/>
    </xf>
    <xf numFmtId="0" fontId="16" fillId="38" borderId="18" xfId="0" applyFont="1" applyFill="1" applyBorder="1" applyAlignment="1" applyProtection="1">
      <alignment horizontal="center" vertical="center" wrapText="1"/>
      <protection locked="0"/>
    </xf>
    <xf numFmtId="0" fontId="16" fillId="38" borderId="18" xfId="0" applyFont="1" applyFill="1" applyBorder="1" applyAlignment="1" applyProtection="1">
      <alignment horizontal="center" vertical="center" wrapText="1"/>
      <protection/>
    </xf>
    <xf numFmtId="0" fontId="16" fillId="38" borderId="20" xfId="0" applyFont="1" applyFill="1" applyBorder="1" applyAlignment="1" applyProtection="1">
      <alignment horizontal="center" vertical="center" wrapText="1"/>
      <protection locked="0"/>
    </xf>
    <xf numFmtId="0" fontId="16" fillId="38" borderId="21" xfId="0" applyFont="1" applyFill="1" applyBorder="1" applyAlignment="1" applyProtection="1">
      <alignment horizontal="center" vertical="center" wrapText="1"/>
      <protection locked="0"/>
    </xf>
    <xf numFmtId="0" fontId="16" fillId="38" borderId="22" xfId="0" applyFont="1" applyFill="1" applyBorder="1" applyAlignment="1" applyProtection="1">
      <alignment horizontal="center" vertical="center" wrapText="1"/>
      <protection/>
    </xf>
    <xf numFmtId="0" fontId="14" fillId="38" borderId="23" xfId="0" applyFont="1" applyFill="1" applyBorder="1" applyAlignment="1" applyProtection="1">
      <alignment horizontal="center" vertical="center" wrapText="1"/>
      <protection locked="0"/>
    </xf>
    <xf numFmtId="0" fontId="14" fillId="38" borderId="24" xfId="0" applyFont="1" applyFill="1" applyBorder="1" applyAlignment="1" applyProtection="1">
      <alignment horizontal="center" vertical="center" wrapText="1"/>
      <protection locked="0"/>
    </xf>
    <xf numFmtId="0" fontId="14" fillId="38" borderId="25" xfId="0" applyFont="1" applyFill="1" applyBorder="1" applyAlignment="1" applyProtection="1">
      <alignment horizontal="center" vertical="center" wrapText="1"/>
      <protection/>
    </xf>
    <xf numFmtId="0" fontId="16" fillId="38" borderId="17" xfId="0" applyFont="1" applyFill="1" applyBorder="1" applyAlignment="1" applyProtection="1">
      <alignment horizontal="center" vertical="center" wrapText="1"/>
      <protection locked="0"/>
    </xf>
    <xf numFmtId="0" fontId="16" fillId="38" borderId="17" xfId="0" applyFont="1" applyFill="1" applyBorder="1" applyAlignment="1" applyProtection="1">
      <alignment horizontal="center" vertical="center" wrapText="1"/>
      <protection/>
    </xf>
    <xf numFmtId="1" fontId="16" fillId="38" borderId="11" xfId="0" applyNumberFormat="1" applyFont="1" applyFill="1" applyBorder="1" applyAlignment="1" applyProtection="1">
      <alignment horizontal="center" vertical="center" wrapText="1"/>
      <protection/>
    </xf>
    <xf numFmtId="0" fontId="82" fillId="7" borderId="11" xfId="0" applyFont="1" applyFill="1" applyBorder="1" applyAlignment="1" applyProtection="1">
      <alignment horizontal="left" vertical="center" wrapText="1"/>
      <protection locked="0"/>
    </xf>
    <xf numFmtId="0" fontId="14" fillId="4" borderId="20" xfId="0" applyFont="1" applyFill="1" applyBorder="1" applyAlignment="1" applyProtection="1">
      <alignment horizontal="left" vertical="center" wrapText="1"/>
      <protection locked="0"/>
    </xf>
    <xf numFmtId="0" fontId="14" fillId="4" borderId="23" xfId="0" applyFont="1" applyFill="1" applyBorder="1" applyAlignment="1" applyProtection="1">
      <alignment horizontal="left" vertical="center" wrapText="1"/>
      <protection locked="0"/>
    </xf>
    <xf numFmtId="0" fontId="14" fillId="9" borderId="11" xfId="0" applyFont="1" applyFill="1" applyBorder="1" applyAlignment="1" applyProtection="1">
      <alignment horizontal="left" vertical="center" wrapText="1"/>
      <protection locked="0"/>
    </xf>
    <xf numFmtId="49" fontId="82" fillId="7" borderId="11" xfId="0" applyNumberFormat="1" applyFont="1" applyFill="1" applyBorder="1" applyAlignment="1" applyProtection="1">
      <alignment horizontal="left" vertical="center" wrapText="1"/>
      <protection locked="0"/>
    </xf>
    <xf numFmtId="0" fontId="82" fillId="39" borderId="11" xfId="0" applyFont="1" applyFill="1" applyBorder="1" applyAlignment="1" applyProtection="1">
      <alignment horizontal="left" vertical="center" wrapText="1"/>
      <protection locked="0"/>
    </xf>
    <xf numFmtId="0" fontId="83" fillId="7" borderId="11" xfId="58" applyFont="1" applyFill="1" applyBorder="1" applyAlignment="1" applyProtection="1">
      <alignment horizontal="center" vertical="center"/>
      <protection/>
    </xf>
    <xf numFmtId="0" fontId="82" fillId="40" borderId="11" xfId="0" applyFont="1" applyFill="1" applyBorder="1" applyAlignment="1" applyProtection="1">
      <alignment horizontal="left" vertical="center" wrapText="1"/>
      <protection locked="0"/>
    </xf>
    <xf numFmtId="0" fontId="84" fillId="0" borderId="11" xfId="58" applyFont="1" applyBorder="1" applyAlignment="1" applyProtection="1">
      <alignment horizontal="center" vertical="center" wrapText="1"/>
      <protection locked="0"/>
    </xf>
    <xf numFmtId="0" fontId="82" fillId="7" borderId="11" xfId="58" applyFont="1" applyFill="1" applyBorder="1" applyAlignment="1" applyProtection="1">
      <alignment horizontal="center" vertical="center" wrapText="1"/>
      <protection locked="0"/>
    </xf>
    <xf numFmtId="0" fontId="83" fillId="0" borderId="11" xfId="58" applyFont="1" applyBorder="1" applyAlignment="1" applyProtection="1">
      <alignment horizontal="center" vertical="center"/>
      <protection/>
    </xf>
    <xf numFmtId="0" fontId="82" fillId="33" borderId="11" xfId="0" applyFont="1" applyFill="1" applyBorder="1" applyAlignment="1" applyProtection="1">
      <alignment horizontal="left" vertical="center" wrapText="1"/>
      <protection/>
    </xf>
    <xf numFmtId="0" fontId="82" fillId="33" borderId="11" xfId="0" applyFont="1" applyFill="1" applyBorder="1" applyAlignment="1" applyProtection="1">
      <alignment horizontal="left" vertical="center" wrapText="1"/>
      <protection/>
    </xf>
    <xf numFmtId="0" fontId="15" fillId="36" borderId="11" xfId="0" applyFont="1" applyFill="1" applyBorder="1" applyAlignment="1" applyProtection="1">
      <alignment horizontal="center" vertical="center" textRotation="90" wrapText="1"/>
      <protection/>
    </xf>
    <xf numFmtId="0" fontId="85" fillId="39" borderId="11" xfId="0" applyFont="1" applyFill="1" applyBorder="1" applyAlignment="1" applyProtection="1">
      <alignment horizontal="left" vertical="center" wrapText="1"/>
      <protection locked="0"/>
    </xf>
    <xf numFmtId="0" fontId="7" fillId="0" borderId="27" xfId="58" applyFont="1" applyBorder="1" applyProtection="1">
      <alignment/>
      <protection/>
    </xf>
    <xf numFmtId="184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184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 applyProtection="1">
      <alignment horizontal="center" wrapText="1"/>
      <protection locked="0"/>
    </xf>
    <xf numFmtId="1" fontId="0" fillId="0" borderId="0" xfId="0" applyNumberFormat="1" applyAlignment="1">
      <alignment/>
    </xf>
    <xf numFmtId="186" fontId="57" fillId="0" borderId="13" xfId="72" applyNumberFormat="1" applyFont="1" applyBorder="1" applyAlignment="1" applyProtection="1">
      <alignment vertical="center"/>
      <protection/>
    </xf>
    <xf numFmtId="186" fontId="57" fillId="0" borderId="14" xfId="72" applyNumberFormat="1" applyFont="1" applyBorder="1" applyAlignment="1" applyProtection="1">
      <alignment horizontal="left" vertical="center" indent="1"/>
      <protection/>
    </xf>
    <xf numFmtId="49" fontId="57" fillId="0" borderId="12" xfId="72" applyNumberFormat="1" applyFont="1" applyFill="1" applyBorder="1" applyAlignment="1" applyProtection="1">
      <alignment vertical="center"/>
      <protection locked="0"/>
    </xf>
    <xf numFmtId="49" fontId="57" fillId="0" borderId="12" xfId="72" applyNumberFormat="1" applyFont="1" applyFill="1" applyBorder="1" applyAlignment="1" applyProtection="1">
      <alignment horizontal="left" vertical="center" wrapText="1" indent="1"/>
      <protection locked="0"/>
    </xf>
    <xf numFmtId="0" fontId="11" fillId="41" borderId="0" xfId="58" applyFont="1" applyFill="1" applyProtection="1">
      <alignment/>
      <protection/>
    </xf>
    <xf numFmtId="0" fontId="11" fillId="41" borderId="0" xfId="58" applyFont="1" applyFill="1" applyAlignment="1" applyProtection="1">
      <alignment horizontal="center" vertical="center" wrapText="1"/>
      <protection/>
    </xf>
    <xf numFmtId="3" fontId="11" fillId="41" borderId="0" xfId="58" applyNumberFormat="1" applyFont="1" applyFill="1" applyAlignment="1" applyProtection="1">
      <alignment horizontal="center" vertical="center" wrapText="1"/>
      <protection/>
    </xf>
    <xf numFmtId="0" fontId="14" fillId="42" borderId="11" xfId="58" applyFont="1" applyFill="1" applyBorder="1" applyAlignment="1" applyProtection="1">
      <alignment horizontal="center" vertical="center" textRotation="90" wrapText="1"/>
      <protection/>
    </xf>
    <xf numFmtId="0" fontId="14" fillId="42" borderId="11" xfId="0" applyFont="1" applyFill="1" applyBorder="1" applyAlignment="1" applyProtection="1">
      <alignment horizontal="center" vertical="center" wrapText="1"/>
      <protection locked="0"/>
    </xf>
    <xf numFmtId="0" fontId="14" fillId="42" borderId="11" xfId="58" applyFont="1" applyFill="1" applyBorder="1" applyAlignment="1" applyProtection="1">
      <alignment horizontal="center" vertical="center" wrapText="1"/>
      <protection locked="0"/>
    </xf>
    <xf numFmtId="0" fontId="14" fillId="42" borderId="11" xfId="58" applyFont="1" applyFill="1" applyBorder="1" applyAlignment="1" applyProtection="1">
      <alignment horizontal="center" vertical="center" wrapText="1"/>
      <protection/>
    </xf>
    <xf numFmtId="0" fontId="14" fillId="42" borderId="11" xfId="58" applyFont="1" applyFill="1" applyBorder="1" applyAlignment="1" applyProtection="1">
      <alignment horizontal="center" vertical="center"/>
      <protection locked="0"/>
    </xf>
    <xf numFmtId="0" fontId="14" fillId="41" borderId="0" xfId="58" applyFont="1" applyFill="1" applyBorder="1" applyAlignment="1" applyProtection="1">
      <alignment vertical="center"/>
      <protection/>
    </xf>
    <xf numFmtId="0" fontId="14" fillId="41" borderId="0" xfId="58" applyFont="1" applyFill="1" applyBorder="1" applyAlignment="1" applyProtection="1">
      <alignment vertical="center" wrapText="1"/>
      <protection/>
    </xf>
    <xf numFmtId="0" fontId="14" fillId="41" borderId="0" xfId="58" applyFont="1" applyFill="1" applyProtection="1">
      <alignment/>
      <protection/>
    </xf>
    <xf numFmtId="0" fontId="11" fillId="41" borderId="0" xfId="58" applyFont="1" applyFill="1" applyAlignment="1" applyProtection="1">
      <alignment horizontal="left"/>
      <protection/>
    </xf>
    <xf numFmtId="0" fontId="15" fillId="42" borderId="11" xfId="66" applyFont="1" applyFill="1" applyBorder="1" applyAlignment="1" applyProtection="1">
      <alignment horizontal="center" vertical="center" wrapText="1"/>
      <protection/>
    </xf>
    <xf numFmtId="0" fontId="14" fillId="42" borderId="11" xfId="66" applyFont="1" applyFill="1" applyBorder="1" applyAlignment="1" applyProtection="1">
      <alignment horizontal="right"/>
      <protection locked="0"/>
    </xf>
    <xf numFmtId="0" fontId="16" fillId="42" borderId="11" xfId="66" applyFont="1" applyFill="1" applyBorder="1" applyAlignment="1" applyProtection="1">
      <alignment horizontal="right"/>
      <protection/>
    </xf>
    <xf numFmtId="0" fontId="14" fillId="42" borderId="11" xfId="66" applyFont="1" applyFill="1" applyBorder="1" applyProtection="1">
      <alignment/>
      <protection locked="0"/>
    </xf>
    <xf numFmtId="0" fontId="14" fillId="42" borderId="11" xfId="66" applyFont="1" applyFill="1" applyBorder="1" applyAlignment="1" applyProtection="1">
      <alignment wrapText="1"/>
      <protection locked="0"/>
    </xf>
    <xf numFmtId="0" fontId="82" fillId="43" borderId="11" xfId="0" applyFont="1" applyFill="1" applyBorder="1" applyAlignment="1" applyProtection="1">
      <alignment horizontal="center" vertical="center" wrapText="1"/>
      <protection locked="0"/>
    </xf>
    <xf numFmtId="0" fontId="14" fillId="43" borderId="11" xfId="0" applyFont="1" applyFill="1" applyBorder="1" applyAlignment="1" applyProtection="1">
      <alignment horizontal="center" vertical="center" wrapText="1"/>
      <protection locked="0"/>
    </xf>
    <xf numFmtId="0" fontId="82" fillId="43" borderId="11" xfId="0" applyFont="1" applyFill="1" applyBorder="1" applyAlignment="1" applyProtection="1">
      <alignment horizontal="center" vertical="center" wrapText="1"/>
      <protection locked="0"/>
    </xf>
    <xf numFmtId="0" fontId="84" fillId="43" borderId="11" xfId="0" applyFont="1" applyFill="1" applyBorder="1" applyAlignment="1" applyProtection="1">
      <alignment horizontal="center" vertical="center" wrapText="1"/>
      <protection locked="0"/>
    </xf>
    <xf numFmtId="0" fontId="14" fillId="43" borderId="11" xfId="0" applyFont="1" applyFill="1" applyBorder="1" applyAlignment="1" applyProtection="1">
      <alignment horizontal="center" vertical="center" wrapText="1"/>
      <protection/>
    </xf>
    <xf numFmtId="0" fontId="14" fillId="43" borderId="11" xfId="0" applyFont="1" applyFill="1" applyBorder="1" applyAlignment="1" applyProtection="1">
      <alignment horizontal="center" vertical="center" wrapText="1"/>
      <protection locked="0"/>
    </xf>
    <xf numFmtId="0" fontId="14" fillId="43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4" fillId="0" borderId="11" xfId="58" applyFont="1" applyFill="1" applyBorder="1" applyAlignment="1" applyProtection="1">
      <alignment horizontal="center" vertical="center" wrapText="1"/>
      <protection/>
    </xf>
    <xf numFmtId="186" fontId="28" fillId="0" borderId="14" xfId="72" applyNumberFormat="1" applyFont="1" applyFill="1" applyBorder="1" applyAlignment="1" applyProtection="1">
      <alignment horizontal="left" vertical="center" indent="1"/>
      <protection/>
    </xf>
    <xf numFmtId="186" fontId="57" fillId="0" borderId="14" xfId="72" applyNumberFormat="1" applyFont="1" applyFill="1" applyBorder="1" applyAlignment="1" applyProtection="1">
      <alignment horizontal="left" vertical="center" indent="1"/>
      <protection/>
    </xf>
    <xf numFmtId="186" fontId="49" fillId="0" borderId="14" xfId="72" applyNumberFormat="1" applyFont="1" applyFill="1" applyBorder="1" applyAlignment="1" applyProtection="1">
      <alignment horizontal="left" vertical="center"/>
      <protection/>
    </xf>
    <xf numFmtId="186" fontId="58" fillId="0" borderId="14" xfId="72" applyNumberFormat="1" applyFont="1" applyFill="1" applyBorder="1" applyAlignment="1" applyProtection="1">
      <alignment horizontal="left" vertical="center"/>
      <protection/>
    </xf>
    <xf numFmtId="0" fontId="7" fillId="0" borderId="0" xfId="58" applyFont="1" applyFill="1" applyAlignment="1" applyProtection="1">
      <alignment/>
      <protection/>
    </xf>
    <xf numFmtId="0" fontId="11" fillId="0" borderId="0" xfId="58" applyFont="1" applyFill="1" applyAlignment="1" applyProtection="1">
      <alignment/>
      <protection/>
    </xf>
    <xf numFmtId="0" fontId="14" fillId="0" borderId="0" xfId="58" applyFont="1" applyFill="1" applyBorder="1" applyAlignment="1" applyProtection="1">
      <alignment vertical="center" wrapText="1"/>
      <protection/>
    </xf>
    <xf numFmtId="0" fontId="11" fillId="0" borderId="0" xfId="58" applyFont="1" applyFill="1" applyAlignment="1" applyProtection="1">
      <alignment horizontal="center" vertical="center" wrapText="1"/>
      <protection/>
    </xf>
    <xf numFmtId="3" fontId="15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82" fillId="42" borderId="11" xfId="0" applyFont="1" applyFill="1" applyBorder="1" applyAlignment="1" applyProtection="1">
      <alignment horizontal="center" vertical="center" wrapText="1"/>
      <protection locked="0"/>
    </xf>
    <xf numFmtId="186" fontId="28" fillId="0" borderId="12" xfId="72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82" fillId="0" borderId="11" xfId="0" applyFont="1" applyFill="1" applyBorder="1" applyAlignment="1" applyProtection="1">
      <alignment horizontal="center" vertical="center"/>
      <protection locked="0"/>
    </xf>
    <xf numFmtId="3" fontId="11" fillId="0" borderId="0" xfId="58" applyNumberFormat="1" applyFont="1" applyFill="1" applyProtection="1">
      <alignment/>
      <protection/>
    </xf>
    <xf numFmtId="0" fontId="14" fillId="0" borderId="11" xfId="58" applyFont="1" applyFill="1" applyBorder="1" applyAlignment="1" applyProtection="1">
      <alignment horizontal="center" vertical="center" textRotation="90" wrapText="1"/>
      <protection/>
    </xf>
    <xf numFmtId="0" fontId="8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58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Fill="1" applyAlignment="1" applyProtection="1">
      <alignment horizontal="center" wrapText="1"/>
      <protection/>
    </xf>
    <xf numFmtId="0" fontId="6" fillId="0" borderId="0" xfId="58" applyFont="1" applyFill="1" applyBorder="1" applyAlignment="1" applyProtection="1">
      <alignment horizontal="center" wrapText="1"/>
      <protection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3" fontId="15" fillId="0" borderId="11" xfId="58" applyNumberFormat="1" applyFont="1" applyFill="1" applyBorder="1" applyAlignment="1" applyProtection="1">
      <alignment horizontal="center" vertical="center" textRotation="90" wrapText="1"/>
      <protection/>
    </xf>
    <xf numFmtId="3" fontId="14" fillId="0" borderId="11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Protection="1">
      <alignment/>
      <protection/>
    </xf>
    <xf numFmtId="0" fontId="14" fillId="0" borderId="11" xfId="0" applyFont="1" applyFill="1" applyBorder="1" applyAlignment="1" applyProtection="1">
      <alignment horizontal="center"/>
      <protection locked="0"/>
    </xf>
    <xf numFmtId="184" fontId="76" fillId="36" borderId="10" xfId="74" applyNumberFormat="1" applyFill="1" applyAlignment="1">
      <alignment/>
    </xf>
    <xf numFmtId="184" fontId="18" fillId="42" borderId="11" xfId="59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>
      <alignment/>
    </xf>
    <xf numFmtId="184" fontId="76" fillId="36" borderId="10" xfId="74" applyNumberFormat="1" applyFont="1" applyFill="1" applyAlignment="1">
      <alignment/>
    </xf>
    <xf numFmtId="0" fontId="8" fillId="0" borderId="0" xfId="61" applyProtection="1">
      <alignment/>
      <protection/>
    </xf>
    <xf numFmtId="0" fontId="8" fillId="0" borderId="11" xfId="61" applyFont="1" applyBorder="1" applyAlignment="1" applyProtection="1">
      <alignment horizontal="center" vertical="center"/>
      <protection/>
    </xf>
    <xf numFmtId="0" fontId="8" fillId="0" borderId="11" xfId="61" applyBorder="1" applyAlignment="1" applyProtection="1">
      <alignment horizontal="center" vertical="center" wrapText="1"/>
      <protection/>
    </xf>
    <xf numFmtId="0" fontId="8" fillId="0" borderId="11" xfId="61" applyFont="1" applyBorder="1" applyAlignment="1" applyProtection="1">
      <alignment horizontal="center" vertical="center" wrapText="1"/>
      <protection/>
    </xf>
    <xf numFmtId="0" fontId="8" fillId="0" borderId="0" xfId="61" applyAlignment="1" applyProtection="1">
      <alignment vertical="center"/>
      <protection/>
    </xf>
    <xf numFmtId="0" fontId="8" fillId="0" borderId="11" xfId="61" applyBorder="1" applyAlignment="1" applyProtection="1">
      <alignment horizontal="center"/>
      <protection locked="0"/>
    </xf>
    <xf numFmtId="186" fontId="49" fillId="0" borderId="13" xfId="72" applyNumberFormat="1" applyFont="1" applyBorder="1" applyAlignment="1" applyProtection="1">
      <alignment vertical="center"/>
      <protection/>
    </xf>
    <xf numFmtId="186" fontId="49" fillId="0" borderId="14" xfId="72" applyNumberFormat="1" applyFont="1" applyBorder="1" applyAlignment="1" applyProtection="1">
      <alignment vertical="center"/>
      <protection/>
    </xf>
    <xf numFmtId="186" fontId="28" fillId="0" borderId="33" xfId="72" applyNumberFormat="1" applyFont="1" applyFill="1" applyBorder="1" applyAlignment="1" applyProtection="1">
      <alignment horizontal="left" vertical="center"/>
      <protection/>
    </xf>
    <xf numFmtId="186" fontId="28" fillId="0" borderId="34" xfId="72" applyNumberFormat="1" applyFont="1" applyFill="1" applyBorder="1" applyAlignment="1" applyProtection="1">
      <alignment horizontal="left" vertical="center" wrapText="1"/>
      <protection/>
    </xf>
    <xf numFmtId="0" fontId="15" fillId="0" borderId="11" xfId="61" applyFont="1" applyBorder="1" applyAlignment="1" applyProtection="1">
      <alignment horizontal="left" wrapText="1"/>
      <protection locked="0"/>
    </xf>
    <xf numFmtId="0" fontId="15" fillId="0" borderId="11" xfId="61" applyFont="1" applyBorder="1" applyAlignment="1" applyProtection="1">
      <alignment horizontal="center" wrapText="1"/>
      <protection locked="0"/>
    </xf>
    <xf numFmtId="0" fontId="15" fillId="0" borderId="11" xfId="61" applyFont="1" applyBorder="1" applyAlignment="1" applyProtection="1">
      <alignment wrapText="1"/>
      <protection locked="0"/>
    </xf>
    <xf numFmtId="9" fontId="9" fillId="0" borderId="11" xfId="0" applyNumberFormat="1" applyFont="1" applyBorder="1" applyAlignment="1" applyProtection="1">
      <alignment horizontal="left" wrapText="1"/>
      <protection locked="0"/>
    </xf>
    <xf numFmtId="0" fontId="15" fillId="0" borderId="11" xfId="61" applyFont="1" applyFill="1" applyBorder="1" applyAlignment="1" applyProtection="1">
      <alignment horizontal="left" wrapText="1"/>
      <protection locked="0"/>
    </xf>
    <xf numFmtId="0" fontId="15" fillId="0" borderId="11" xfId="61" applyFont="1" applyBorder="1" applyAlignment="1" applyProtection="1">
      <alignment vertical="center" wrapText="1"/>
      <protection locked="0"/>
    </xf>
    <xf numFmtId="9" fontId="0" fillId="0" borderId="11" xfId="0" applyNumberFormat="1" applyBorder="1" applyAlignment="1" applyProtection="1">
      <alignment horizontal="center" vertical="center"/>
      <protection locked="0"/>
    </xf>
    <xf numFmtId="0" fontId="15" fillId="0" borderId="11" xfId="61" applyFont="1" applyBorder="1" applyAlignment="1" applyProtection="1">
      <alignment horizontal="left" vertical="center" wrapText="1"/>
      <protection locked="0"/>
    </xf>
    <xf numFmtId="0" fontId="15" fillId="0" borderId="11" xfId="61" applyFont="1" applyBorder="1" applyAlignment="1" applyProtection="1">
      <alignment horizontal="left" vertical="center"/>
      <protection locked="0"/>
    </xf>
    <xf numFmtId="0" fontId="15" fillId="0" borderId="11" xfId="61" applyFont="1" applyBorder="1" applyAlignment="1" applyProtection="1">
      <alignment horizontal="left" wrapText="1"/>
      <protection locked="0"/>
    </xf>
    <xf numFmtId="0" fontId="15" fillId="0" borderId="11" xfId="61" applyFont="1" applyBorder="1" applyAlignment="1" applyProtection="1">
      <alignment horizontal="center"/>
      <protection locked="0"/>
    </xf>
    <xf numFmtId="0" fontId="15" fillId="0" borderId="11" xfId="61" applyFont="1" applyBorder="1" applyAlignment="1" applyProtection="1">
      <alignment wrapText="1"/>
      <protection locked="0"/>
    </xf>
    <xf numFmtId="0" fontId="15" fillId="0" borderId="11" xfId="61" applyFont="1" applyBorder="1" applyAlignment="1" applyProtection="1">
      <alignment horizontal="left"/>
      <protection locked="0"/>
    </xf>
    <xf numFmtId="0" fontId="86" fillId="0" borderId="11" xfId="60" applyFont="1" applyBorder="1" applyAlignment="1" applyProtection="1">
      <alignment horizontal="center" vertical="center"/>
      <protection locked="0"/>
    </xf>
    <xf numFmtId="0" fontId="8" fillId="0" borderId="11" xfId="61" applyBorder="1" applyAlignment="1" applyProtection="1">
      <alignment vertical="center"/>
      <protection locked="0"/>
    </xf>
    <xf numFmtId="0" fontId="8" fillId="0" borderId="11" xfId="61" applyBorder="1" applyAlignment="1" applyProtection="1">
      <alignment horizontal="left" vertical="center" wrapText="1"/>
      <protection/>
    </xf>
    <xf numFmtId="0" fontId="8" fillId="0" borderId="11" xfId="61" applyBorder="1" applyAlignment="1" applyProtection="1">
      <alignment horizontal="left" vertical="center"/>
      <protection locked="0"/>
    </xf>
    <xf numFmtId="0" fontId="8" fillId="0" borderId="11" xfId="61" applyBorder="1" applyAlignment="1" applyProtection="1">
      <alignment horizontal="left" vertical="center" wrapText="1"/>
      <protection locked="0"/>
    </xf>
    <xf numFmtId="0" fontId="8" fillId="0" borderId="11" xfId="6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 wrapText="1"/>
    </xf>
    <xf numFmtId="0" fontId="14" fillId="0" borderId="11" xfId="61" applyFont="1" applyBorder="1" applyAlignment="1" applyProtection="1">
      <alignment horizontal="center" vertical="center"/>
      <protection locked="0"/>
    </xf>
    <xf numFmtId="0" fontId="14" fillId="0" borderId="11" xfId="61" applyFont="1" applyBorder="1" applyAlignment="1" applyProtection="1">
      <alignment horizontal="left" vertical="center" wrapText="1"/>
      <protection locked="0"/>
    </xf>
    <xf numFmtId="0" fontId="14" fillId="0" borderId="11" xfId="61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9" fontId="2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4" fillId="41" borderId="11" xfId="61" applyFont="1" applyFill="1" applyBorder="1" applyAlignment="1" applyProtection="1">
      <alignment horizontal="center" vertical="center"/>
      <protection locked="0"/>
    </xf>
    <xf numFmtId="0" fontId="14" fillId="41" borderId="11" xfId="61" applyFont="1" applyFill="1" applyBorder="1" applyAlignment="1" applyProtection="1">
      <alignment horizontal="left" vertical="center" wrapText="1"/>
      <protection locked="0"/>
    </xf>
    <xf numFmtId="0" fontId="14" fillId="41" borderId="11" xfId="61" applyFont="1" applyFill="1" applyBorder="1" applyAlignment="1" applyProtection="1">
      <alignment horizontal="left" vertical="center"/>
      <protection locked="0"/>
    </xf>
    <xf numFmtId="0" fontId="29" fillId="41" borderId="11" xfId="0" applyFont="1" applyFill="1" applyBorder="1" applyAlignment="1">
      <alignment horizontal="center" vertical="center"/>
    </xf>
    <xf numFmtId="0" fontId="9" fillId="41" borderId="11" xfId="0" applyFont="1" applyFill="1" applyBorder="1" applyAlignment="1">
      <alignment horizontal="left" vertical="center" wrapText="1"/>
    </xf>
    <xf numFmtId="0" fontId="14" fillId="0" borderId="11" xfId="61" applyFont="1" applyFill="1" applyBorder="1" applyAlignment="1" applyProtection="1">
      <alignment horizontal="center" vertical="center"/>
      <protection locked="0"/>
    </xf>
    <xf numFmtId="185" fontId="78" fillId="41" borderId="15" xfId="71" applyNumberFormat="1" applyFont="1" applyFill="1" applyBorder="1" applyAlignment="1" applyProtection="1">
      <alignment horizontal="right" vertical="center"/>
      <protection/>
    </xf>
    <xf numFmtId="0" fontId="8" fillId="41" borderId="0" xfId="61" applyFill="1" applyProtection="1">
      <alignment/>
      <protection/>
    </xf>
    <xf numFmtId="0" fontId="8" fillId="41" borderId="11" xfId="61" applyFill="1" applyBorder="1" applyAlignment="1" applyProtection="1">
      <alignment horizontal="center" vertical="center" wrapText="1"/>
      <protection/>
    </xf>
    <xf numFmtId="0" fontId="0" fillId="41" borderId="0" xfId="0" applyFill="1" applyAlignment="1">
      <alignment/>
    </xf>
    <xf numFmtId="0" fontId="7" fillId="0" borderId="0" xfId="58" applyFont="1" applyFill="1" applyProtection="1">
      <alignment/>
      <protection/>
    </xf>
    <xf numFmtId="0" fontId="15" fillId="7" borderId="11" xfId="0" applyFont="1" applyFill="1" applyBorder="1" applyAlignment="1" applyProtection="1">
      <alignment horizontal="center" vertical="center" textRotation="90" wrapText="1"/>
      <protection/>
    </xf>
    <xf numFmtId="0" fontId="15" fillId="0" borderId="11" xfId="0" applyFont="1" applyFill="1" applyBorder="1" applyAlignment="1" applyProtection="1">
      <alignment horizontal="center" vertical="center" textRotation="90" wrapText="1"/>
      <protection/>
    </xf>
    <xf numFmtId="3" fontId="15" fillId="13" borderId="11" xfId="0" applyNumberFormat="1" applyFont="1" applyFill="1" applyBorder="1" applyAlignment="1" applyProtection="1">
      <alignment horizontal="center" vertical="center" textRotation="90" wrapText="1"/>
      <protection/>
    </xf>
    <xf numFmtId="0" fontId="15" fillId="36" borderId="11" xfId="0" applyFont="1" applyFill="1" applyBorder="1" applyAlignment="1" applyProtection="1">
      <alignment horizontal="center" vertical="center" wrapText="1"/>
      <protection/>
    </xf>
    <xf numFmtId="0" fontId="15" fillId="36" borderId="11" xfId="0" applyFont="1" applyFill="1" applyBorder="1" applyAlignment="1" applyProtection="1">
      <alignment horizontal="center" vertical="center" textRotation="90" wrapText="1"/>
      <protection/>
    </xf>
    <xf numFmtId="0" fontId="15" fillId="13" borderId="11" xfId="0" applyFont="1" applyFill="1" applyBorder="1" applyAlignment="1" applyProtection="1">
      <alignment horizontal="center" vertical="center" textRotation="90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15" fillId="32" borderId="11" xfId="0" applyFont="1" applyFill="1" applyBorder="1" applyAlignment="1" applyProtection="1">
      <alignment horizontal="center" vertical="center" textRotation="90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0" fontId="27" fillId="7" borderId="26" xfId="58" applyFont="1" applyFill="1" applyBorder="1" applyAlignment="1" applyProtection="1">
      <alignment horizontal="center" vertical="center"/>
      <protection/>
    </xf>
    <xf numFmtId="0" fontId="27" fillId="7" borderId="32" xfId="58" applyFont="1" applyFill="1" applyBorder="1" applyAlignment="1" applyProtection="1">
      <alignment horizontal="center" vertical="center"/>
      <protection/>
    </xf>
    <xf numFmtId="0" fontId="11" fillId="7" borderId="18" xfId="58" applyFont="1" applyFill="1" applyBorder="1" applyAlignment="1" applyProtection="1">
      <alignment horizontal="center" vertical="center" wrapText="1"/>
      <protection/>
    </xf>
    <xf numFmtId="0" fontId="11" fillId="7" borderId="35" xfId="58" applyFont="1" applyFill="1" applyBorder="1" applyAlignment="1" applyProtection="1">
      <alignment horizontal="center" vertical="center"/>
      <protection/>
    </xf>
    <xf numFmtId="0" fontId="11" fillId="7" borderId="17" xfId="58" applyFont="1" applyFill="1" applyBorder="1" applyAlignment="1" applyProtection="1">
      <alignment horizontal="center" vertical="center"/>
      <protection/>
    </xf>
    <xf numFmtId="0" fontId="15" fillId="13" borderId="11" xfId="0" applyFont="1" applyFill="1" applyBorder="1" applyAlignment="1" applyProtection="1">
      <alignment horizontal="center" vertical="center" wrapText="1"/>
      <protection/>
    </xf>
    <xf numFmtId="0" fontId="14" fillId="7" borderId="11" xfId="0" applyFont="1" applyFill="1" applyBorder="1" applyAlignment="1" applyProtection="1">
      <alignment horizontal="center" vertical="center" wrapText="1"/>
      <protection/>
    </xf>
    <xf numFmtId="0" fontId="14" fillId="42" borderId="11" xfId="58" applyFont="1" applyFill="1" applyBorder="1" applyAlignment="1" applyProtection="1">
      <alignment horizontal="center" vertical="center" wrapText="1"/>
      <protection/>
    </xf>
    <xf numFmtId="0" fontId="14" fillId="7" borderId="11" xfId="58" applyFont="1" applyFill="1" applyBorder="1" applyAlignment="1" applyProtection="1">
      <alignment horizontal="center" vertical="center" wrapText="1"/>
      <protection/>
    </xf>
    <xf numFmtId="0" fontId="14" fillId="0" borderId="11" xfId="58" applyFont="1" applyFill="1" applyBorder="1" applyAlignment="1" applyProtection="1">
      <alignment horizontal="center" vertical="center" wrapText="1"/>
      <protection/>
    </xf>
    <xf numFmtId="0" fontId="14" fillId="33" borderId="11" xfId="58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1" fillId="0" borderId="18" xfId="58" applyFont="1" applyBorder="1" applyAlignment="1" applyProtection="1">
      <alignment horizontal="center" vertical="center" wrapText="1"/>
      <protection/>
    </xf>
    <xf numFmtId="0" fontId="11" fillId="0" borderId="17" xfId="58" applyFont="1" applyBorder="1" applyAlignment="1" applyProtection="1">
      <alignment horizontal="center" vertical="center"/>
      <protection/>
    </xf>
    <xf numFmtId="0" fontId="14" fillId="0" borderId="11" xfId="58" applyFont="1" applyBorder="1" applyAlignment="1" applyProtection="1">
      <alignment horizontal="center" vertical="center" wrapText="1"/>
      <protection/>
    </xf>
    <xf numFmtId="0" fontId="14" fillId="33" borderId="11" xfId="66" applyFont="1" applyFill="1" applyBorder="1" applyAlignment="1" applyProtection="1">
      <alignment horizontal="center" vertical="center" wrapText="1"/>
      <protection/>
    </xf>
    <xf numFmtId="0" fontId="14" fillId="42" borderId="11" xfId="66" applyFont="1" applyFill="1" applyBorder="1" applyAlignment="1" applyProtection="1">
      <alignment horizontal="center" vertical="center" wrapText="1"/>
      <protection/>
    </xf>
    <xf numFmtId="0" fontId="60" fillId="0" borderId="0" xfId="74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86" fontId="28" fillId="0" borderId="33" xfId="72" applyNumberFormat="1" applyFont="1" applyFill="1" applyBorder="1" applyAlignment="1" applyProtection="1">
      <alignment horizontal="left" vertical="center"/>
      <protection/>
    </xf>
    <xf numFmtId="186" fontId="28" fillId="0" borderId="34" xfId="72" applyNumberFormat="1" applyFont="1" applyFill="1" applyBorder="1" applyAlignment="1" applyProtection="1">
      <alignment horizontal="left" vertical="center"/>
      <protection/>
    </xf>
    <xf numFmtId="186" fontId="28" fillId="0" borderId="36" xfId="72" applyNumberFormat="1" applyFont="1" applyFill="1" applyBorder="1" applyAlignment="1" applyProtection="1">
      <alignment horizontal="left" vertical="center"/>
      <protection/>
    </xf>
    <xf numFmtId="0" fontId="0" fillId="0" borderId="34" xfId="0" applyBorder="1" applyAlignment="1">
      <alignment horizontal="left" vertical="center"/>
    </xf>
    <xf numFmtId="0" fontId="6" fillId="0" borderId="0" xfId="61" applyFont="1" applyAlignment="1" applyProtection="1">
      <alignment horizontal="center"/>
      <protection/>
    </xf>
    <xf numFmtId="186" fontId="28" fillId="0" borderId="37" xfId="72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ntentsHyperlink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_BOLNICE" xfId="64"/>
    <cellStyle name="Normal_normativ kadra _ tabel_1" xfId="65"/>
    <cellStyle name="Normal_TAB DZ 1-10 (1)" xfId="66"/>
    <cellStyle name="Normal_TAB DZ 1-10 (1) 2" xfId="67"/>
    <cellStyle name="Note" xfId="68"/>
    <cellStyle name="Output" xfId="69"/>
    <cellStyle name="Percent" xfId="70"/>
    <cellStyle name="Student Information" xfId="71"/>
    <cellStyle name="Student Information - user entered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10.53\system%20(c)\Documents%20and%20Settings\ana.todorovic\My%20Documents\&#1057;&#1058;&#1040;&#1058;&#1048;&#1057;&#1058;&#1048;&#1050;&#1040;%20-%20&#1047;&#1040;%20&#1043;&#1056;&#1040;&#1044;&#1057;&#1050;&#1048;%20&#1047;&#1040;&#1042;&#1054;&#1044;\&#1057;&#1090;&#1072;&#1090;&#1080;&#1089;&#1090;&#1080;&#1095;&#1082;&#1077;%20&#1090;&#1072;&#1073;&#1077;&#1083;&#1077;%20&#1080;&#1079;%20&#1043;&#1047;&#1047;&#1032;%20-%20%202015.&#1075;&#1086;&#1076;&#1080;&#1085;&#1072;\4%20KBC_ZEMUN_31.12.201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dar.ode."/>
      <sheetName val="Kadar.dne.bol.dij."/>
      <sheetName val="Kadar.zaj.med.del."/>
      <sheetName val="Kadar.nem."/>
      <sheetName val="Kadar.zbirno "/>
      <sheetName val="Kadar.nepuno.rv"/>
      <sheetName val="Kadar.radno.angazovani"/>
      <sheetName val="Kadar.nastavnici.i.saradnici"/>
    </sheetNames>
    <sheetDataSet>
      <sheetData sheetId="0">
        <row r="1">
          <cell r="C1" t="str">
            <v>КЛИНИЧКО БОЛНИЧКИ ЦЕНТАР ЗЕМУН-БЕОГРАД</v>
          </cell>
        </row>
        <row r="2">
          <cell r="C2" t="str">
            <v>07030100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9"/>
  <sheetViews>
    <sheetView tabSelected="1" zoomScale="90" zoomScaleNormal="90" zoomScaleSheetLayoutView="100" zoomScalePageLayoutView="0" workbookViewId="0" topLeftCell="A1">
      <selection activeCell="O10" sqref="O10"/>
    </sheetView>
  </sheetViews>
  <sheetFormatPr defaultColWidth="9.00390625" defaultRowHeight="12.75"/>
  <cols>
    <col min="1" max="1" width="3.75390625" style="1" customWidth="1"/>
    <col min="2" max="2" width="22.875" style="1" customWidth="1"/>
    <col min="3" max="3" width="5.75390625" style="1" customWidth="1"/>
    <col min="4" max="4" width="7.25390625" style="1" customWidth="1"/>
    <col min="5" max="5" width="7.375" style="1" customWidth="1"/>
    <col min="6" max="6" width="3.75390625" style="1" customWidth="1"/>
    <col min="7" max="7" width="3.375" style="1" customWidth="1"/>
    <col min="8" max="8" width="3.125" style="1" customWidth="1"/>
    <col min="9" max="9" width="4.75390625" style="1" customWidth="1"/>
    <col min="10" max="10" width="3.75390625" style="9" customWidth="1"/>
    <col min="11" max="11" width="3.625" style="9" customWidth="1"/>
    <col min="12" max="12" width="3.875" style="9" customWidth="1"/>
    <col min="13" max="13" width="6.25390625" style="3" customWidth="1"/>
    <col min="14" max="14" width="3.75390625" style="3" customWidth="1"/>
    <col min="15" max="15" width="3.625" style="3" customWidth="1"/>
    <col min="16" max="16" width="3.25390625" style="12" customWidth="1"/>
    <col min="17" max="17" width="4.875" style="1" customWidth="1"/>
    <col min="18" max="18" width="6.25390625" style="1" customWidth="1"/>
    <col min="19" max="19" width="4.375" style="273" customWidth="1"/>
    <col min="20" max="20" width="4.375" style="3" customWidth="1"/>
    <col min="21" max="21" width="3.75390625" style="12" customWidth="1"/>
    <col min="22" max="22" width="4.25390625" style="1" customWidth="1"/>
    <col min="23" max="23" width="4.125" style="1" customWidth="1"/>
    <col min="24" max="24" width="3.375" style="4" customWidth="1"/>
    <col min="25" max="25" width="5.125" style="1" customWidth="1"/>
    <col min="26" max="26" width="5.875" style="1" customWidth="1"/>
    <col min="27" max="27" width="3.375" style="9" customWidth="1"/>
    <col min="28" max="29" width="3.375" style="1" customWidth="1"/>
    <col min="30" max="30" width="5.375" style="1" customWidth="1"/>
    <col min="31" max="32" width="5.375" style="9" customWidth="1"/>
    <col min="33" max="33" width="4.375" style="1" hidden="1" customWidth="1"/>
    <col min="34" max="34" width="4.375" style="1" customWidth="1"/>
    <col min="35" max="16384" width="9.125" style="1" customWidth="1"/>
  </cols>
  <sheetData>
    <row r="1" spans="1:18" ht="15.75" customHeight="1">
      <c r="A1" s="106"/>
      <c r="B1" s="40"/>
      <c r="C1" s="41" t="s">
        <v>64</v>
      </c>
      <c r="D1" s="107" t="str">
        <f>'[1]Kadar.ode.'!C1</f>
        <v>КЛИНИЧКО БОЛНИЧКИ ЦЕНТАР ЗЕМУН-БЕОГРАД</v>
      </c>
      <c r="E1" s="108"/>
      <c r="F1" s="108"/>
      <c r="G1" s="108"/>
      <c r="H1" s="108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5.75" customHeight="1">
      <c r="A2" s="106"/>
      <c r="B2" s="40"/>
      <c r="C2" s="41" t="s">
        <v>65</v>
      </c>
      <c r="D2" s="107" t="str">
        <f>'[1]Kadar.ode.'!C2</f>
        <v>07030100</v>
      </c>
      <c r="E2" s="108"/>
      <c r="F2" s="108"/>
      <c r="G2" s="108"/>
      <c r="H2" s="108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15.75">
      <c r="A3" s="106"/>
      <c r="B3" s="40"/>
      <c r="C3" s="41" t="s">
        <v>67</v>
      </c>
      <c r="D3" s="221" t="s">
        <v>158</v>
      </c>
      <c r="E3" s="222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15.75">
      <c r="A4" s="106"/>
      <c r="B4" s="40"/>
      <c r="C4" s="41" t="s">
        <v>66</v>
      </c>
      <c r="D4" s="110" t="s">
        <v>94</v>
      </c>
      <c r="E4" s="111"/>
      <c r="F4" s="111"/>
      <c r="G4" s="111"/>
      <c r="H4" s="111"/>
      <c r="I4" s="111"/>
      <c r="J4" s="259"/>
      <c r="K4" s="259"/>
      <c r="L4" s="259"/>
      <c r="M4" s="111"/>
      <c r="N4" s="111"/>
      <c r="O4" s="111"/>
      <c r="P4" s="111"/>
      <c r="Q4" s="111"/>
      <c r="R4" s="111"/>
    </row>
    <row r="5" spans="2:9" ht="12.75" customHeight="1">
      <c r="B5" s="28"/>
      <c r="D5" s="27"/>
      <c r="E5" s="9"/>
      <c r="F5" s="9"/>
      <c r="G5" s="9"/>
      <c r="H5" s="9"/>
      <c r="I5" s="9"/>
    </row>
    <row r="6" spans="1:33" s="25" customFormat="1" ht="34.5" customHeight="1">
      <c r="A6" s="348" t="s">
        <v>133</v>
      </c>
      <c r="B6" s="352" t="s">
        <v>30</v>
      </c>
      <c r="C6" s="336" t="s">
        <v>144</v>
      </c>
      <c r="D6" s="336" t="s">
        <v>145</v>
      </c>
      <c r="E6" s="336" t="s">
        <v>146</v>
      </c>
      <c r="F6" s="351" t="s">
        <v>31</v>
      </c>
      <c r="G6" s="351"/>
      <c r="H6" s="351"/>
      <c r="I6" s="351"/>
      <c r="J6" s="342" t="s">
        <v>75</v>
      </c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3" t="s">
        <v>72</v>
      </c>
      <c r="AF6" s="343"/>
      <c r="AG6" s="343"/>
    </row>
    <row r="7" spans="1:33" s="9" customFormat="1" ht="47.25" customHeight="1">
      <c r="A7" s="349"/>
      <c r="B7" s="352"/>
      <c r="C7" s="336"/>
      <c r="D7" s="336"/>
      <c r="E7" s="336"/>
      <c r="F7" s="341" t="s">
        <v>41</v>
      </c>
      <c r="G7" s="341" t="s">
        <v>1</v>
      </c>
      <c r="H7" s="341" t="s">
        <v>2</v>
      </c>
      <c r="I7" s="338" t="s">
        <v>0</v>
      </c>
      <c r="J7" s="337" t="s">
        <v>81</v>
      </c>
      <c r="K7" s="337" t="s">
        <v>68</v>
      </c>
      <c r="L7" s="337" t="s">
        <v>69</v>
      </c>
      <c r="M7" s="345" t="s">
        <v>42</v>
      </c>
      <c r="N7" s="345"/>
      <c r="O7" s="345"/>
      <c r="P7" s="345"/>
      <c r="Q7" s="345"/>
      <c r="R7" s="340" t="s">
        <v>43</v>
      </c>
      <c r="S7" s="337" t="s">
        <v>70</v>
      </c>
      <c r="T7" s="339" t="s">
        <v>44</v>
      </c>
      <c r="U7" s="339"/>
      <c r="V7" s="339"/>
      <c r="W7" s="339"/>
      <c r="X7" s="339"/>
      <c r="Y7" s="339"/>
      <c r="Z7" s="340" t="s">
        <v>45</v>
      </c>
      <c r="AA7" s="337" t="s">
        <v>57</v>
      </c>
      <c r="AB7" s="344" t="s">
        <v>46</v>
      </c>
      <c r="AC7" s="340" t="s">
        <v>32</v>
      </c>
      <c r="AD7" s="340" t="s">
        <v>47</v>
      </c>
      <c r="AE7" s="343"/>
      <c r="AF7" s="343"/>
      <c r="AG7" s="343"/>
    </row>
    <row r="8" spans="1:33" s="9" customFormat="1" ht="87" customHeight="1">
      <c r="A8" s="350"/>
      <c r="B8" s="352"/>
      <c r="C8" s="336"/>
      <c r="D8" s="336"/>
      <c r="E8" s="336"/>
      <c r="F8" s="341"/>
      <c r="G8" s="341"/>
      <c r="H8" s="341"/>
      <c r="I8" s="338"/>
      <c r="J8" s="337"/>
      <c r="K8" s="337"/>
      <c r="L8" s="337"/>
      <c r="M8" s="211" t="s">
        <v>41</v>
      </c>
      <c r="N8" s="211" t="s">
        <v>1</v>
      </c>
      <c r="O8" s="211" t="s">
        <v>2</v>
      </c>
      <c r="P8" s="211" t="s">
        <v>32</v>
      </c>
      <c r="Q8" s="72" t="s">
        <v>82</v>
      </c>
      <c r="R8" s="340"/>
      <c r="S8" s="337"/>
      <c r="T8" s="211" t="s">
        <v>3</v>
      </c>
      <c r="U8" s="211" t="s">
        <v>1</v>
      </c>
      <c r="V8" s="211" t="s">
        <v>48</v>
      </c>
      <c r="W8" s="72" t="s">
        <v>49</v>
      </c>
      <c r="X8" s="72" t="s">
        <v>50</v>
      </c>
      <c r="Y8" s="72" t="s">
        <v>71</v>
      </c>
      <c r="Z8" s="340"/>
      <c r="AA8" s="337"/>
      <c r="AB8" s="344"/>
      <c r="AC8" s="340"/>
      <c r="AD8" s="340"/>
      <c r="AE8" s="56" t="s">
        <v>4</v>
      </c>
      <c r="AF8" s="56" t="s">
        <v>5</v>
      </c>
      <c r="AG8" s="56" t="s">
        <v>6</v>
      </c>
    </row>
    <row r="9" spans="1:33" s="13" customFormat="1" ht="15.75">
      <c r="A9" s="112">
        <v>1</v>
      </c>
      <c r="B9" s="63" t="s">
        <v>102</v>
      </c>
      <c r="C9" s="34"/>
      <c r="D9" s="34"/>
      <c r="E9" s="129"/>
      <c r="F9" s="65"/>
      <c r="G9" s="183"/>
      <c r="H9" s="66"/>
      <c r="I9" s="67">
        <f>SUM(F9:H9)</f>
        <v>0</v>
      </c>
      <c r="J9" s="71">
        <v>0</v>
      </c>
      <c r="K9" s="71">
        <v>0</v>
      </c>
      <c r="L9" s="71"/>
      <c r="M9" s="73"/>
      <c r="N9" s="73"/>
      <c r="O9" s="74"/>
      <c r="P9" s="74"/>
      <c r="Q9" s="75">
        <f>SUM(M9:P9)</f>
        <v>0</v>
      </c>
      <c r="R9" s="69">
        <f>J9-Q9</f>
        <v>0</v>
      </c>
      <c r="S9" s="71"/>
      <c r="T9" s="76"/>
      <c r="U9" s="73"/>
      <c r="V9" s="73"/>
      <c r="W9" s="73"/>
      <c r="X9" s="73"/>
      <c r="Y9" s="75">
        <f>SUM(T9:X9)</f>
        <v>0</v>
      </c>
      <c r="Z9" s="69">
        <f>S9-Y9</f>
        <v>0</v>
      </c>
      <c r="AA9" s="71"/>
      <c r="AB9" s="98"/>
      <c r="AC9" s="68"/>
      <c r="AD9" s="70">
        <f aca="true" t="shared" si="0" ref="AD9:AD39">AA9-(AB9+AC9)</f>
        <v>0</v>
      </c>
      <c r="AE9" s="71"/>
      <c r="AF9" s="71"/>
      <c r="AG9" s="71"/>
    </row>
    <row r="10" spans="1:33" s="13" customFormat="1" ht="15.75">
      <c r="A10" s="112">
        <v>2</v>
      </c>
      <c r="B10" s="63" t="s">
        <v>103</v>
      </c>
      <c r="C10" s="34">
        <v>922</v>
      </c>
      <c r="D10" s="34">
        <v>7354</v>
      </c>
      <c r="E10" s="130">
        <f>D10/I10/3.65</f>
        <v>57.5655577299413</v>
      </c>
      <c r="F10" s="65">
        <v>30</v>
      </c>
      <c r="G10" s="65">
        <v>5</v>
      </c>
      <c r="H10" s="65"/>
      <c r="I10" s="67">
        <f aca="true" t="shared" si="1" ref="I10:I34">SUM(F10:H10)</f>
        <v>35</v>
      </c>
      <c r="J10" s="71">
        <v>11</v>
      </c>
      <c r="K10" s="260">
        <v>0</v>
      </c>
      <c r="L10" s="71">
        <v>11</v>
      </c>
      <c r="M10" s="73">
        <f>ROUND(F10*0.18+0.25*F10*0.18+9607/2940,0)</f>
        <v>10</v>
      </c>
      <c r="N10" s="73">
        <f>ROUND(G10*0.4+0.25*G10*0.4,0)</f>
        <v>3</v>
      </c>
      <c r="O10" s="74"/>
      <c r="P10" s="74"/>
      <c r="Q10" s="119">
        <f aca="true" t="shared" si="2" ref="Q10:Q39">SUM(M10:P10)</f>
        <v>13</v>
      </c>
      <c r="R10" s="120">
        <f aca="true" t="shared" si="3" ref="R10:R36">J10-Q10</f>
        <v>-2</v>
      </c>
      <c r="S10" s="71">
        <v>34</v>
      </c>
      <c r="T10" s="140">
        <f>ROUND(F10*0.5+0.25*F10*0.5,0)</f>
        <v>19</v>
      </c>
      <c r="U10" s="136">
        <f>ROUND(G10*2+0.25*G10*2,0)</f>
        <v>13</v>
      </c>
      <c r="V10" s="73"/>
      <c r="W10" s="133">
        <f>ROUND(F10*0.08+0.25*F10*0.08,0)</f>
        <v>3</v>
      </c>
      <c r="X10" s="73"/>
      <c r="Y10" s="119">
        <f aca="true" t="shared" si="4" ref="Y10:Y36">SUM(T10:X10)</f>
        <v>35</v>
      </c>
      <c r="Z10" s="120">
        <f aca="true" t="shared" si="5" ref="Z10:Z39">S10-Y10</f>
        <v>-1</v>
      </c>
      <c r="AA10" s="71"/>
      <c r="AB10" s="98"/>
      <c r="AC10" s="68"/>
      <c r="AD10" s="70">
        <f t="shared" si="0"/>
        <v>0</v>
      </c>
      <c r="AE10" s="71"/>
      <c r="AF10" s="71"/>
      <c r="AG10" s="213"/>
    </row>
    <row r="11" spans="1:33" s="13" customFormat="1" ht="15.75">
      <c r="A11" s="112">
        <v>3</v>
      </c>
      <c r="B11" s="201" t="s">
        <v>104</v>
      </c>
      <c r="C11" s="34"/>
      <c r="D11" s="34"/>
      <c r="E11" s="130">
        <f aca="true" t="shared" si="6" ref="E11:E39">D11/I11/3.65</f>
        <v>0</v>
      </c>
      <c r="F11" s="183"/>
      <c r="G11" s="183">
        <v>9</v>
      </c>
      <c r="H11" s="183"/>
      <c r="I11" s="184">
        <f t="shared" si="1"/>
        <v>9</v>
      </c>
      <c r="J11" s="71">
        <v>1</v>
      </c>
      <c r="K11" s="260">
        <v>1</v>
      </c>
      <c r="L11" s="71">
        <v>0</v>
      </c>
      <c r="M11" s="73"/>
      <c r="N11" s="73">
        <f>ROUND(G11*0.4+0.25*G11*0.4,0)</f>
        <v>5</v>
      </c>
      <c r="O11" s="74"/>
      <c r="P11" s="74"/>
      <c r="Q11" s="119">
        <f t="shared" si="2"/>
        <v>5</v>
      </c>
      <c r="R11" s="120">
        <f t="shared" si="3"/>
        <v>-4</v>
      </c>
      <c r="S11" s="71">
        <v>13</v>
      </c>
      <c r="T11" s="140">
        <f>F11*0.5+0.25*F11*0.5</f>
        <v>0</v>
      </c>
      <c r="U11" s="136">
        <f>ROUND(G11*2+0.25*G11*2,0)</f>
        <v>23</v>
      </c>
      <c r="V11" s="73"/>
      <c r="W11" s="133"/>
      <c r="X11" s="73"/>
      <c r="Y11" s="119">
        <f t="shared" si="4"/>
        <v>23</v>
      </c>
      <c r="Z11" s="120">
        <f t="shared" si="5"/>
        <v>-10</v>
      </c>
      <c r="AA11" s="71"/>
      <c r="AB11" s="98"/>
      <c r="AC11" s="68"/>
      <c r="AD11" s="70">
        <f t="shared" si="0"/>
        <v>0</v>
      </c>
      <c r="AE11" s="71"/>
      <c r="AF11" s="71"/>
      <c r="AG11" s="213"/>
    </row>
    <row r="12" spans="1:33" s="13" customFormat="1" ht="24">
      <c r="A12" s="112">
        <v>4</v>
      </c>
      <c r="B12" s="63" t="s">
        <v>105</v>
      </c>
      <c r="C12" s="34">
        <v>2087</v>
      </c>
      <c r="D12" s="34">
        <v>9722</v>
      </c>
      <c r="E12" s="130">
        <f t="shared" si="6"/>
        <v>66.58904109589042</v>
      </c>
      <c r="F12" s="185">
        <f>56-20</f>
        <v>36</v>
      </c>
      <c r="G12" s="185">
        <v>4</v>
      </c>
      <c r="H12" s="185"/>
      <c r="I12" s="186">
        <f t="shared" si="1"/>
        <v>40</v>
      </c>
      <c r="J12" s="71">
        <v>8</v>
      </c>
      <c r="K12" s="260">
        <v>4</v>
      </c>
      <c r="L12" s="71">
        <v>4</v>
      </c>
      <c r="M12" s="73">
        <f>ROUND(F12*0.18+0.25*F12*0.18,0)</f>
        <v>8</v>
      </c>
      <c r="N12" s="73">
        <f>ROUND(G12*0.4+0.25*G12*0.4,0)</f>
        <v>2</v>
      </c>
      <c r="O12" s="74"/>
      <c r="P12" s="74"/>
      <c r="Q12" s="119">
        <f t="shared" si="2"/>
        <v>10</v>
      </c>
      <c r="R12" s="120">
        <f t="shared" si="3"/>
        <v>-2</v>
      </c>
      <c r="S12" s="71">
        <v>18</v>
      </c>
      <c r="T12" s="140">
        <f aca="true" t="shared" si="7" ref="T12:T21">ROUND(F12*0.5+0.25*F12*0.5,0)</f>
        <v>23</v>
      </c>
      <c r="U12" s="136">
        <f>ROUND(G12*2+0.25*G12*2,0)</f>
        <v>10</v>
      </c>
      <c r="V12" s="73"/>
      <c r="W12" s="133">
        <f aca="true" t="shared" si="8" ref="W12:W21">ROUND(F12*0.08+0.25*F12*0.08,0)</f>
        <v>4</v>
      </c>
      <c r="X12" s="73"/>
      <c r="Y12" s="119">
        <f t="shared" si="4"/>
        <v>37</v>
      </c>
      <c r="Z12" s="120">
        <f t="shared" si="5"/>
        <v>-19</v>
      </c>
      <c r="AA12" s="71"/>
      <c r="AB12" s="98"/>
      <c r="AC12" s="68"/>
      <c r="AD12" s="70">
        <f t="shared" si="0"/>
        <v>0</v>
      </c>
      <c r="AE12" s="71"/>
      <c r="AF12" s="71"/>
      <c r="AG12" s="213"/>
    </row>
    <row r="13" spans="1:33" s="13" customFormat="1" ht="16.5" thickBot="1">
      <c r="A13" s="112">
        <v>5</v>
      </c>
      <c r="B13" s="177" t="s">
        <v>106</v>
      </c>
      <c r="C13" s="178">
        <v>2513</v>
      </c>
      <c r="D13" s="178">
        <v>13759</v>
      </c>
      <c r="E13" s="130">
        <f t="shared" si="6"/>
        <v>66.13314107185774</v>
      </c>
      <c r="F13" s="187">
        <f>36+12</f>
        <v>48</v>
      </c>
      <c r="G13" s="187">
        <v>9</v>
      </c>
      <c r="H13" s="187"/>
      <c r="I13" s="188">
        <f t="shared" si="1"/>
        <v>57</v>
      </c>
      <c r="J13" s="261">
        <v>22</v>
      </c>
      <c r="K13" s="262">
        <v>4</v>
      </c>
      <c r="L13" s="261">
        <v>18</v>
      </c>
      <c r="M13" s="146">
        <f>ROUND(F13*0.18+0.25*F13*0.18+9100/2940+6,0)</f>
        <v>20</v>
      </c>
      <c r="N13" s="146">
        <f>ROUND(G13*0.4+0.25*G13*0.4,0)</f>
        <v>5</v>
      </c>
      <c r="O13" s="147"/>
      <c r="P13" s="147"/>
      <c r="Q13" s="148">
        <f t="shared" si="2"/>
        <v>25</v>
      </c>
      <c r="R13" s="149">
        <f t="shared" si="3"/>
        <v>-3</v>
      </c>
      <c r="S13" s="261">
        <v>42</v>
      </c>
      <c r="T13" s="164">
        <f>ROUND(F13*0.5+0.25*F13*0.5+4,0)</f>
        <v>34</v>
      </c>
      <c r="U13" s="165">
        <f>ROUND(G13*2+0.25*G13*2,0)</f>
        <v>23</v>
      </c>
      <c r="V13" s="146"/>
      <c r="W13" s="166">
        <f t="shared" si="8"/>
        <v>5</v>
      </c>
      <c r="X13" s="146"/>
      <c r="Y13" s="148">
        <f t="shared" si="4"/>
        <v>62</v>
      </c>
      <c r="Z13" s="149">
        <f t="shared" si="5"/>
        <v>-20</v>
      </c>
      <c r="AA13" s="71"/>
      <c r="AB13" s="98"/>
      <c r="AC13" s="68"/>
      <c r="AD13" s="70">
        <f t="shared" si="0"/>
        <v>0</v>
      </c>
      <c r="AE13" s="71"/>
      <c r="AF13" s="71"/>
      <c r="AG13" s="213"/>
    </row>
    <row r="14" spans="1:33" s="13" customFormat="1" ht="15.75">
      <c r="A14" s="176">
        <v>6</v>
      </c>
      <c r="B14" s="199" t="s">
        <v>107</v>
      </c>
      <c r="C14" s="181">
        <v>832</v>
      </c>
      <c r="D14" s="181">
        <v>8304</v>
      </c>
      <c r="E14" s="130">
        <f t="shared" si="6"/>
        <v>84.26179604261796</v>
      </c>
      <c r="F14" s="189">
        <f>34-7</f>
        <v>27</v>
      </c>
      <c r="G14" s="190"/>
      <c r="H14" s="190"/>
      <c r="I14" s="191">
        <f t="shared" si="1"/>
        <v>27</v>
      </c>
      <c r="J14" s="263">
        <v>10</v>
      </c>
      <c r="K14" s="264">
        <v>1</v>
      </c>
      <c r="L14" s="265">
        <v>9</v>
      </c>
      <c r="M14" s="154">
        <f>ROUND(F14*0.18+0.25*F14*0.18+2842/2100,0)</f>
        <v>7</v>
      </c>
      <c r="N14" s="155"/>
      <c r="O14" s="156"/>
      <c r="P14" s="156"/>
      <c r="Q14" s="157">
        <f aca="true" t="shared" si="9" ref="Q14:Q26">SUM(M14:P14)</f>
        <v>7</v>
      </c>
      <c r="R14" s="158">
        <f aca="true" t="shared" si="10" ref="R14:R26">J14-Q14</f>
        <v>3</v>
      </c>
      <c r="S14" s="263">
        <v>16</v>
      </c>
      <c r="T14" s="170">
        <f t="shared" si="7"/>
        <v>17</v>
      </c>
      <c r="U14" s="171"/>
      <c r="V14" s="155"/>
      <c r="W14" s="172">
        <f t="shared" si="8"/>
        <v>3</v>
      </c>
      <c r="X14" s="155"/>
      <c r="Y14" s="157">
        <f aca="true" t="shared" si="11" ref="Y14:Y26">SUM(T14:X14)</f>
        <v>20</v>
      </c>
      <c r="Z14" s="158">
        <f aca="true" t="shared" si="12" ref="Z14:Z26">S14-Y14</f>
        <v>-4</v>
      </c>
      <c r="AA14" s="279"/>
      <c r="AB14" s="98"/>
      <c r="AC14" s="68"/>
      <c r="AD14" s="70">
        <f t="shared" si="0"/>
        <v>0</v>
      </c>
      <c r="AE14" s="71"/>
      <c r="AF14" s="71"/>
      <c r="AG14" s="213"/>
    </row>
    <row r="15" spans="1:33" s="13" customFormat="1" ht="16.5" thickBot="1">
      <c r="A15" s="176">
        <v>7</v>
      </c>
      <c r="B15" s="200" t="s">
        <v>108</v>
      </c>
      <c r="C15" s="182"/>
      <c r="D15" s="182"/>
      <c r="E15" s="130">
        <f t="shared" si="6"/>
        <v>0</v>
      </c>
      <c r="F15" s="192"/>
      <c r="G15" s="193">
        <v>6</v>
      </c>
      <c r="H15" s="193"/>
      <c r="I15" s="194">
        <f t="shared" si="1"/>
        <v>6</v>
      </c>
      <c r="J15" s="266">
        <v>0</v>
      </c>
      <c r="K15" s="267">
        <v>0</v>
      </c>
      <c r="L15" s="268">
        <v>0</v>
      </c>
      <c r="M15" s="159"/>
      <c r="N15" s="160">
        <f>ROUND(G15*0.4+0.25*G15*0.4,0)</f>
        <v>3</v>
      </c>
      <c r="O15" s="161"/>
      <c r="P15" s="161"/>
      <c r="Q15" s="162">
        <f t="shared" si="9"/>
        <v>3</v>
      </c>
      <c r="R15" s="163">
        <f t="shared" si="10"/>
        <v>-3</v>
      </c>
      <c r="S15" s="266"/>
      <c r="T15" s="173"/>
      <c r="U15" s="174">
        <f>ROUND(G15*2+0.25*G15*2,0)</f>
        <v>15</v>
      </c>
      <c r="V15" s="160"/>
      <c r="W15" s="175"/>
      <c r="X15" s="160"/>
      <c r="Y15" s="162">
        <f t="shared" si="11"/>
        <v>15</v>
      </c>
      <c r="Z15" s="163">
        <f t="shared" si="12"/>
        <v>-15</v>
      </c>
      <c r="AA15" s="279"/>
      <c r="AB15" s="98"/>
      <c r="AC15" s="68"/>
      <c r="AD15" s="70">
        <f t="shared" si="0"/>
        <v>0</v>
      </c>
      <c r="AE15" s="71"/>
      <c r="AF15" s="71"/>
      <c r="AG15" s="213"/>
    </row>
    <row r="16" spans="1:33" s="13" customFormat="1" ht="15.75">
      <c r="A16" s="112">
        <v>8</v>
      </c>
      <c r="B16" s="179" t="s">
        <v>109</v>
      </c>
      <c r="C16" s="180">
        <v>750</v>
      </c>
      <c r="D16" s="180">
        <v>8963</v>
      </c>
      <c r="E16" s="130">
        <f t="shared" si="6"/>
        <v>62.96452406041447</v>
      </c>
      <c r="F16" s="195">
        <f>24+15</f>
        <v>39</v>
      </c>
      <c r="G16" s="195"/>
      <c r="H16" s="195"/>
      <c r="I16" s="196">
        <f t="shared" si="1"/>
        <v>39</v>
      </c>
      <c r="J16" s="269">
        <v>6</v>
      </c>
      <c r="K16" s="270">
        <v>0</v>
      </c>
      <c r="L16" s="270">
        <v>6</v>
      </c>
      <c r="M16" s="150">
        <f>ROUND(F16*0.18+0.25*F16*0.18,0)</f>
        <v>9</v>
      </c>
      <c r="N16" s="150"/>
      <c r="O16" s="151"/>
      <c r="P16" s="151"/>
      <c r="Q16" s="152">
        <f t="shared" si="9"/>
        <v>9</v>
      </c>
      <c r="R16" s="153">
        <f t="shared" si="10"/>
        <v>-3</v>
      </c>
      <c r="S16" s="270">
        <v>15</v>
      </c>
      <c r="T16" s="167">
        <f t="shared" si="7"/>
        <v>24</v>
      </c>
      <c r="U16" s="168"/>
      <c r="V16" s="150"/>
      <c r="W16" s="169">
        <f t="shared" si="8"/>
        <v>4</v>
      </c>
      <c r="X16" s="150"/>
      <c r="Y16" s="152">
        <f t="shared" si="11"/>
        <v>28</v>
      </c>
      <c r="Z16" s="153">
        <f t="shared" si="12"/>
        <v>-13</v>
      </c>
      <c r="AA16" s="71"/>
      <c r="AB16" s="98"/>
      <c r="AC16" s="68"/>
      <c r="AD16" s="70">
        <f t="shared" si="0"/>
        <v>0</v>
      </c>
      <c r="AE16" s="71"/>
      <c r="AF16" s="71"/>
      <c r="AG16" s="213"/>
    </row>
    <row r="17" spans="1:33" s="13" customFormat="1" ht="15.75">
      <c r="A17" s="112">
        <v>9</v>
      </c>
      <c r="B17" s="198" t="s">
        <v>110</v>
      </c>
      <c r="C17" s="34">
        <v>0</v>
      </c>
      <c r="D17" s="34">
        <v>0</v>
      </c>
      <c r="E17" s="130" t="e">
        <f t="shared" si="6"/>
        <v>#DIV/0!</v>
      </c>
      <c r="F17" s="185"/>
      <c r="G17" s="185"/>
      <c r="H17" s="185"/>
      <c r="I17" s="186">
        <f t="shared" si="1"/>
        <v>0</v>
      </c>
      <c r="J17" s="71">
        <v>0</v>
      </c>
      <c r="K17" s="71"/>
      <c r="L17" s="71"/>
      <c r="M17" s="73"/>
      <c r="N17" s="73"/>
      <c r="O17" s="74"/>
      <c r="P17" s="74"/>
      <c r="Q17" s="119">
        <f t="shared" si="9"/>
        <v>0</v>
      </c>
      <c r="R17" s="120">
        <f t="shared" si="10"/>
        <v>0</v>
      </c>
      <c r="S17" s="71"/>
      <c r="T17" s="141">
        <f>I17*0.43+0.25*I17*0.43</f>
        <v>0</v>
      </c>
      <c r="U17" s="137"/>
      <c r="V17" s="73"/>
      <c r="W17" s="134">
        <f>ROUND(F17*0.07+0.25*F17*0.07,0)</f>
        <v>0</v>
      </c>
      <c r="X17" s="73"/>
      <c r="Y17" s="119">
        <f t="shared" si="11"/>
        <v>0</v>
      </c>
      <c r="Z17" s="120">
        <f t="shared" si="12"/>
        <v>0</v>
      </c>
      <c r="AA17" s="71"/>
      <c r="AB17" s="98"/>
      <c r="AC17" s="68"/>
      <c r="AD17" s="70">
        <f t="shared" si="0"/>
        <v>0</v>
      </c>
      <c r="AE17" s="71"/>
      <c r="AF17" s="71"/>
      <c r="AG17" s="213"/>
    </row>
    <row r="18" spans="1:33" s="13" customFormat="1" ht="15.75">
      <c r="A18" s="112">
        <v>10</v>
      </c>
      <c r="B18" s="205" t="s">
        <v>111</v>
      </c>
      <c r="C18" s="34">
        <v>520</v>
      </c>
      <c r="D18" s="34">
        <v>5646</v>
      </c>
      <c r="E18" s="130">
        <f t="shared" si="6"/>
        <v>61.87397260273973</v>
      </c>
      <c r="F18" s="185">
        <f>23+1+1</f>
        <v>25</v>
      </c>
      <c r="G18" s="185"/>
      <c r="H18" s="185"/>
      <c r="I18" s="186">
        <f t="shared" si="1"/>
        <v>25</v>
      </c>
      <c r="J18" s="71">
        <v>6</v>
      </c>
      <c r="K18" s="260">
        <v>0</v>
      </c>
      <c r="L18" s="71">
        <v>6</v>
      </c>
      <c r="M18" s="73">
        <f>ROUND(F18*0.18+0.25*F18*0.18,0)</f>
        <v>6</v>
      </c>
      <c r="N18" s="73"/>
      <c r="O18" s="74"/>
      <c r="P18" s="74"/>
      <c r="Q18" s="119">
        <f t="shared" si="9"/>
        <v>6</v>
      </c>
      <c r="R18" s="120">
        <f t="shared" si="10"/>
        <v>0</v>
      </c>
      <c r="S18" s="71">
        <v>9</v>
      </c>
      <c r="T18" s="140">
        <f t="shared" si="7"/>
        <v>16</v>
      </c>
      <c r="U18" s="136"/>
      <c r="V18" s="73"/>
      <c r="W18" s="133">
        <f t="shared" si="8"/>
        <v>3</v>
      </c>
      <c r="X18" s="73"/>
      <c r="Y18" s="119">
        <f t="shared" si="11"/>
        <v>19</v>
      </c>
      <c r="Z18" s="120">
        <f t="shared" si="12"/>
        <v>-10</v>
      </c>
      <c r="AA18" s="71"/>
      <c r="AB18" s="98"/>
      <c r="AC18" s="68"/>
      <c r="AD18" s="70">
        <f t="shared" si="0"/>
        <v>0</v>
      </c>
      <c r="AE18" s="71"/>
      <c r="AF18" s="71"/>
      <c r="AG18" s="213"/>
    </row>
    <row r="19" spans="1:33" s="13" customFormat="1" ht="15.75">
      <c r="A19" s="112">
        <v>11</v>
      </c>
      <c r="B19" s="198" t="s">
        <v>112</v>
      </c>
      <c r="C19" s="34">
        <v>353</v>
      </c>
      <c r="D19" s="34">
        <v>5609</v>
      </c>
      <c r="E19" s="130">
        <f t="shared" si="6"/>
        <v>73.1767775603392</v>
      </c>
      <c r="F19" s="185">
        <v>21</v>
      </c>
      <c r="G19" s="183"/>
      <c r="H19" s="183"/>
      <c r="I19" s="186">
        <f t="shared" si="1"/>
        <v>21</v>
      </c>
      <c r="J19" s="71">
        <v>5</v>
      </c>
      <c r="K19" s="260">
        <v>1</v>
      </c>
      <c r="L19" s="71">
        <v>4</v>
      </c>
      <c r="M19" s="73">
        <f>ROUND(F19*0.18+0.25*F19*0.18,0)</f>
        <v>5</v>
      </c>
      <c r="N19" s="73"/>
      <c r="O19" s="74"/>
      <c r="P19" s="74"/>
      <c r="Q19" s="119">
        <f t="shared" si="9"/>
        <v>5</v>
      </c>
      <c r="R19" s="120">
        <f t="shared" si="10"/>
        <v>0</v>
      </c>
      <c r="S19" s="71">
        <v>8</v>
      </c>
      <c r="T19" s="140">
        <f t="shared" si="7"/>
        <v>13</v>
      </c>
      <c r="U19" s="136"/>
      <c r="V19" s="73"/>
      <c r="W19" s="133">
        <f t="shared" si="8"/>
        <v>2</v>
      </c>
      <c r="X19" s="73"/>
      <c r="Y19" s="119">
        <f t="shared" si="11"/>
        <v>15</v>
      </c>
      <c r="Z19" s="120">
        <f t="shared" si="12"/>
        <v>-7</v>
      </c>
      <c r="AA19" s="71"/>
      <c r="AB19" s="98"/>
      <c r="AC19" s="68"/>
      <c r="AD19" s="70">
        <f t="shared" si="0"/>
        <v>0</v>
      </c>
      <c r="AE19" s="71"/>
      <c r="AF19" s="71"/>
      <c r="AG19" s="213"/>
    </row>
    <row r="20" spans="1:33" s="13" customFormat="1" ht="15.75">
      <c r="A20" s="112">
        <v>12</v>
      </c>
      <c r="B20" s="198" t="s">
        <v>113</v>
      </c>
      <c r="C20" s="34">
        <v>543</v>
      </c>
      <c r="D20" s="34">
        <v>4651</v>
      </c>
      <c r="E20" s="130">
        <f t="shared" si="6"/>
        <v>63.712328767123296</v>
      </c>
      <c r="F20" s="185">
        <f>18+1+1</f>
        <v>20</v>
      </c>
      <c r="G20" s="185"/>
      <c r="H20" s="185"/>
      <c r="I20" s="186">
        <f t="shared" si="1"/>
        <v>20</v>
      </c>
      <c r="J20" s="71">
        <v>5</v>
      </c>
      <c r="K20" s="260">
        <v>2</v>
      </c>
      <c r="L20" s="71">
        <v>3</v>
      </c>
      <c r="M20" s="73">
        <f>ROUND(F20*0.18+0.25*F20*0.18,0)</f>
        <v>5</v>
      </c>
      <c r="N20" s="73"/>
      <c r="O20" s="74"/>
      <c r="P20" s="74"/>
      <c r="Q20" s="119">
        <f t="shared" si="9"/>
        <v>5</v>
      </c>
      <c r="R20" s="120">
        <f t="shared" si="10"/>
        <v>0</v>
      </c>
      <c r="S20" s="71">
        <v>8</v>
      </c>
      <c r="T20" s="140">
        <f t="shared" si="7"/>
        <v>13</v>
      </c>
      <c r="U20" s="136"/>
      <c r="V20" s="73"/>
      <c r="W20" s="133">
        <f t="shared" si="8"/>
        <v>2</v>
      </c>
      <c r="X20" s="73"/>
      <c r="Y20" s="119">
        <f t="shared" si="11"/>
        <v>15</v>
      </c>
      <c r="Z20" s="120">
        <f t="shared" si="12"/>
        <v>-7</v>
      </c>
      <c r="AA20" s="71"/>
      <c r="AB20" s="98"/>
      <c r="AC20" s="68"/>
      <c r="AD20" s="70">
        <f t="shared" si="0"/>
        <v>0</v>
      </c>
      <c r="AE20" s="71"/>
      <c r="AF20" s="71"/>
      <c r="AG20" s="213"/>
    </row>
    <row r="21" spans="1:33" s="13" customFormat="1" ht="24">
      <c r="A21" s="112">
        <v>13</v>
      </c>
      <c r="B21" s="198" t="s">
        <v>114</v>
      </c>
      <c r="C21" s="34">
        <v>799</v>
      </c>
      <c r="D21" s="34">
        <v>12295</v>
      </c>
      <c r="E21" s="130">
        <f t="shared" si="6"/>
        <v>76.55666251556663</v>
      </c>
      <c r="F21" s="185">
        <f>43+7-6</f>
        <v>44</v>
      </c>
      <c r="G21" s="185"/>
      <c r="H21" s="185"/>
      <c r="I21" s="186">
        <f t="shared" si="1"/>
        <v>44</v>
      </c>
      <c r="J21" s="71">
        <v>6</v>
      </c>
      <c r="K21" s="260">
        <v>1</v>
      </c>
      <c r="L21" s="71">
        <v>5</v>
      </c>
      <c r="M21" s="73">
        <f>ROUND(F21*0.18+0.25*F21*0.18,0)</f>
        <v>10</v>
      </c>
      <c r="N21" s="73"/>
      <c r="O21" s="74"/>
      <c r="P21" s="74"/>
      <c r="Q21" s="119">
        <f t="shared" si="9"/>
        <v>10</v>
      </c>
      <c r="R21" s="120">
        <f t="shared" si="10"/>
        <v>-4</v>
      </c>
      <c r="S21" s="71">
        <v>22</v>
      </c>
      <c r="T21" s="140">
        <f t="shared" si="7"/>
        <v>28</v>
      </c>
      <c r="U21" s="136"/>
      <c r="V21" s="73"/>
      <c r="W21" s="133">
        <f t="shared" si="8"/>
        <v>4</v>
      </c>
      <c r="X21" s="73"/>
      <c r="Y21" s="119">
        <f t="shared" si="11"/>
        <v>32</v>
      </c>
      <c r="Z21" s="120">
        <f t="shared" si="12"/>
        <v>-10</v>
      </c>
      <c r="AA21" s="71"/>
      <c r="AB21" s="98"/>
      <c r="AC21" s="68"/>
      <c r="AD21" s="70">
        <f t="shared" si="0"/>
        <v>0</v>
      </c>
      <c r="AE21" s="71"/>
      <c r="AF21" s="71"/>
      <c r="AG21" s="213"/>
    </row>
    <row r="22" spans="1:33" s="13" customFormat="1" ht="15.75">
      <c r="A22" s="112">
        <v>14</v>
      </c>
      <c r="B22" s="198" t="s">
        <v>115</v>
      </c>
      <c r="C22" s="34">
        <v>1437</v>
      </c>
      <c r="D22" s="34">
        <v>7414</v>
      </c>
      <c r="E22" s="130">
        <f t="shared" si="6"/>
        <v>50.78082191780822</v>
      </c>
      <c r="F22" s="183">
        <v>37</v>
      </c>
      <c r="G22" s="183">
        <v>3</v>
      </c>
      <c r="H22" s="183"/>
      <c r="I22" s="184">
        <f t="shared" si="1"/>
        <v>40</v>
      </c>
      <c r="J22" s="71">
        <v>10</v>
      </c>
      <c r="K22" s="260">
        <v>4</v>
      </c>
      <c r="L22" s="71">
        <v>6</v>
      </c>
      <c r="M22" s="73">
        <f>ROUND(F22*0.2+1,0)</f>
        <v>8</v>
      </c>
      <c r="N22" s="73">
        <f>ROUND(G22*0.4+0.25*G22*0.4,0)</f>
        <v>2</v>
      </c>
      <c r="O22" s="74"/>
      <c r="P22" s="74"/>
      <c r="Q22" s="119">
        <f t="shared" si="9"/>
        <v>10</v>
      </c>
      <c r="R22" s="120">
        <f t="shared" si="10"/>
        <v>0</v>
      </c>
      <c r="S22" s="71">
        <v>25</v>
      </c>
      <c r="T22" s="140">
        <f>ROUND(F22*0.6,0)</f>
        <v>22</v>
      </c>
      <c r="U22" s="136">
        <f>ROUND(G22*2,0)</f>
        <v>6</v>
      </c>
      <c r="V22" s="73"/>
      <c r="W22" s="133">
        <f>ROUND(F22*0.1,0)</f>
        <v>4</v>
      </c>
      <c r="X22" s="73"/>
      <c r="Y22" s="119">
        <f t="shared" si="11"/>
        <v>32</v>
      </c>
      <c r="Z22" s="120">
        <f t="shared" si="12"/>
        <v>-7</v>
      </c>
      <c r="AA22" s="71"/>
      <c r="AB22" s="99">
        <f>I22*0.02</f>
        <v>0.8</v>
      </c>
      <c r="AC22" s="68"/>
      <c r="AD22" s="70">
        <f t="shared" si="0"/>
        <v>-0.8</v>
      </c>
      <c r="AE22" s="71"/>
      <c r="AF22" s="71"/>
      <c r="AG22" s="213"/>
    </row>
    <row r="23" spans="1:33" s="13" customFormat="1" ht="15.75">
      <c r="A23" s="112">
        <v>15</v>
      </c>
      <c r="B23" s="205" t="s">
        <v>116</v>
      </c>
      <c r="C23" s="34"/>
      <c r="D23" s="34"/>
      <c r="E23" s="130" t="e">
        <f t="shared" si="6"/>
        <v>#DIV/0!</v>
      </c>
      <c r="F23" s="183"/>
      <c r="G23" s="183"/>
      <c r="H23" s="183"/>
      <c r="I23" s="184">
        <f t="shared" si="1"/>
        <v>0</v>
      </c>
      <c r="J23" s="71">
        <v>0</v>
      </c>
      <c r="K23" s="71">
        <v>0</v>
      </c>
      <c r="L23" s="71">
        <v>0</v>
      </c>
      <c r="M23" s="118"/>
      <c r="N23" s="103"/>
      <c r="O23" s="74"/>
      <c r="P23" s="74"/>
      <c r="Q23" s="119">
        <f t="shared" si="9"/>
        <v>0</v>
      </c>
      <c r="R23" s="120">
        <f t="shared" si="10"/>
        <v>0</v>
      </c>
      <c r="S23" s="71">
        <v>0</v>
      </c>
      <c r="T23" s="135"/>
      <c r="U23" s="138"/>
      <c r="V23" s="102"/>
      <c r="W23" s="135"/>
      <c r="X23" s="104">
        <f>R23-W23</f>
        <v>0</v>
      </c>
      <c r="Y23" s="119">
        <f t="shared" si="11"/>
        <v>0</v>
      </c>
      <c r="Z23" s="120">
        <f t="shared" si="12"/>
        <v>0</v>
      </c>
      <c r="AA23" s="71"/>
      <c r="AB23" s="105"/>
      <c r="AC23" s="68"/>
      <c r="AD23" s="70">
        <f t="shared" si="0"/>
        <v>0</v>
      </c>
      <c r="AE23" s="71"/>
      <c r="AF23" s="71"/>
      <c r="AG23" s="213"/>
    </row>
    <row r="24" spans="1:33" s="13" customFormat="1" ht="15.75">
      <c r="A24" s="112">
        <v>16</v>
      </c>
      <c r="B24" s="198" t="s">
        <v>117</v>
      </c>
      <c r="C24" s="34">
        <v>617</v>
      </c>
      <c r="D24" s="34">
        <v>7275</v>
      </c>
      <c r="E24" s="130">
        <f t="shared" si="6"/>
        <v>66.43835616438356</v>
      </c>
      <c r="F24" s="183">
        <v>24</v>
      </c>
      <c r="G24" s="183"/>
      <c r="H24" s="183">
        <v>6</v>
      </c>
      <c r="I24" s="184">
        <f t="shared" si="1"/>
        <v>30</v>
      </c>
      <c r="J24" s="71">
        <v>9</v>
      </c>
      <c r="K24" s="260">
        <v>2</v>
      </c>
      <c r="L24" s="71">
        <v>7</v>
      </c>
      <c r="M24" s="73">
        <f>ROUND(F24*0.2+0.25*F24*0.2,0)</f>
        <v>6</v>
      </c>
      <c r="N24" s="73"/>
      <c r="O24" s="73">
        <f>ROUND(H24*0.6+0.25*H24*0.6,0)</f>
        <v>5</v>
      </c>
      <c r="P24" s="74"/>
      <c r="Q24" s="119">
        <f t="shared" si="9"/>
        <v>11</v>
      </c>
      <c r="R24" s="120">
        <f t="shared" si="10"/>
        <v>-2</v>
      </c>
      <c r="S24" s="71">
        <v>27</v>
      </c>
      <c r="T24" s="140">
        <f aca="true" t="shared" si="13" ref="T24:T29">ROUND(F24*0.5+0.25*F24*0.5,0)</f>
        <v>15</v>
      </c>
      <c r="U24" s="73"/>
      <c r="V24" s="139">
        <f>ROUND(H24*4+0.25*H24*4,0)</f>
        <v>30</v>
      </c>
      <c r="W24" s="133">
        <f>ROUND(F24*0.3+0.25*F24*0.3,0)</f>
        <v>9</v>
      </c>
      <c r="X24" s="73"/>
      <c r="Y24" s="119">
        <f t="shared" si="11"/>
        <v>54</v>
      </c>
      <c r="Z24" s="120">
        <f t="shared" si="12"/>
        <v>-27</v>
      </c>
      <c r="AA24" s="71"/>
      <c r="AB24" s="99"/>
      <c r="AC24" s="68"/>
      <c r="AD24" s="70">
        <f t="shared" si="0"/>
        <v>0</v>
      </c>
      <c r="AE24" s="71"/>
      <c r="AF24" s="71"/>
      <c r="AG24" s="213"/>
    </row>
    <row r="25" spans="1:33" s="13" customFormat="1" ht="15.75">
      <c r="A25" s="112">
        <v>17</v>
      </c>
      <c r="B25" s="198" t="s">
        <v>118</v>
      </c>
      <c r="C25" s="34">
        <v>914</v>
      </c>
      <c r="D25" s="34">
        <v>6268</v>
      </c>
      <c r="E25" s="130">
        <f t="shared" si="6"/>
        <v>49.06457925636008</v>
      </c>
      <c r="F25" s="183">
        <v>35</v>
      </c>
      <c r="G25" s="183"/>
      <c r="H25" s="183"/>
      <c r="I25" s="184">
        <f t="shared" si="1"/>
        <v>35</v>
      </c>
      <c r="J25" s="71">
        <v>11</v>
      </c>
      <c r="K25" s="260">
        <v>2</v>
      </c>
      <c r="L25" s="71">
        <v>9</v>
      </c>
      <c r="M25" s="285">
        <f>ROUND(F25*0.18+0.25*F25*0.18,0)+2</f>
        <v>10</v>
      </c>
      <c r="N25" s="73"/>
      <c r="O25" s="74"/>
      <c r="P25" s="74"/>
      <c r="Q25" s="119">
        <f t="shared" si="9"/>
        <v>10</v>
      </c>
      <c r="R25" s="145">
        <f t="shared" si="10"/>
        <v>1</v>
      </c>
      <c r="S25" s="71">
        <v>11</v>
      </c>
      <c r="T25" s="140">
        <f t="shared" si="13"/>
        <v>22</v>
      </c>
      <c r="U25" s="73"/>
      <c r="V25" s="73"/>
      <c r="W25" s="133">
        <f>I25*0.2+0.25*I25*0.2</f>
        <v>8.75</v>
      </c>
      <c r="X25" s="73"/>
      <c r="Y25" s="119">
        <f t="shared" si="11"/>
        <v>30.75</v>
      </c>
      <c r="Z25" s="120">
        <f t="shared" si="12"/>
        <v>-19.75</v>
      </c>
      <c r="AA25" s="71">
        <v>1</v>
      </c>
      <c r="AB25" s="99">
        <f>I25*0.03+0.25*I25*0.03</f>
        <v>1.3125</v>
      </c>
      <c r="AC25" s="68"/>
      <c r="AD25" s="70">
        <f t="shared" si="0"/>
        <v>-0.3125</v>
      </c>
      <c r="AE25" s="71"/>
      <c r="AF25" s="71"/>
      <c r="AG25" s="213"/>
    </row>
    <row r="26" spans="1:33" s="13" customFormat="1" ht="15.75">
      <c r="A26" s="112">
        <v>18</v>
      </c>
      <c r="B26" s="198" t="s">
        <v>119</v>
      </c>
      <c r="C26" s="34">
        <v>1053</v>
      </c>
      <c r="D26" s="34">
        <v>7049</v>
      </c>
      <c r="E26" s="130">
        <f t="shared" si="6"/>
        <v>64.3744292237443</v>
      </c>
      <c r="F26" s="183">
        <v>30</v>
      </c>
      <c r="G26" s="183"/>
      <c r="H26" s="183"/>
      <c r="I26" s="184">
        <f t="shared" si="1"/>
        <v>30</v>
      </c>
      <c r="J26" s="71">
        <v>9</v>
      </c>
      <c r="K26" s="260">
        <v>2</v>
      </c>
      <c r="L26" s="71">
        <v>7</v>
      </c>
      <c r="M26" s="73">
        <f>ROUND(F26*0.2+0.25*F26*0.2+1,0)</f>
        <v>9</v>
      </c>
      <c r="N26" s="73"/>
      <c r="O26" s="74"/>
      <c r="P26" s="74"/>
      <c r="Q26" s="119">
        <f t="shared" si="9"/>
        <v>9</v>
      </c>
      <c r="R26" s="120">
        <f t="shared" si="10"/>
        <v>0</v>
      </c>
      <c r="S26" s="71">
        <v>13</v>
      </c>
      <c r="T26" s="140">
        <f t="shared" si="13"/>
        <v>19</v>
      </c>
      <c r="U26" s="73"/>
      <c r="V26" s="73"/>
      <c r="W26" s="133">
        <f>ROUND(F26*0.3+0.25*F26*0.3,0)</f>
        <v>11</v>
      </c>
      <c r="X26" s="73"/>
      <c r="Y26" s="119">
        <f t="shared" si="11"/>
        <v>30</v>
      </c>
      <c r="Z26" s="120">
        <f t="shared" si="12"/>
        <v>-17</v>
      </c>
      <c r="AA26" s="71"/>
      <c r="AB26" s="98"/>
      <c r="AC26" s="68"/>
      <c r="AD26" s="70">
        <f t="shared" si="0"/>
        <v>0</v>
      </c>
      <c r="AE26" s="71"/>
      <c r="AF26" s="71"/>
      <c r="AG26" s="213"/>
    </row>
    <row r="27" spans="1:33" s="13" customFormat="1" ht="15.75">
      <c r="A27" s="112">
        <v>19</v>
      </c>
      <c r="B27" s="203" t="s">
        <v>120</v>
      </c>
      <c r="C27" s="34">
        <v>3052</v>
      </c>
      <c r="D27" s="34">
        <v>19282</v>
      </c>
      <c r="E27" s="130">
        <f t="shared" si="6"/>
        <v>78.84686158249846</v>
      </c>
      <c r="F27" s="185">
        <f>56+11</f>
        <v>67</v>
      </c>
      <c r="G27" s="185"/>
      <c r="H27" s="185"/>
      <c r="I27" s="186">
        <f t="shared" si="1"/>
        <v>67</v>
      </c>
      <c r="J27" s="71">
        <v>19</v>
      </c>
      <c r="K27" s="260">
        <v>6</v>
      </c>
      <c r="L27" s="71">
        <v>13</v>
      </c>
      <c r="M27" s="73">
        <f>ROUND(F27*0.2+0.25*F27*0.2,0)</f>
        <v>17</v>
      </c>
      <c r="N27" s="73"/>
      <c r="O27" s="74"/>
      <c r="P27" s="74"/>
      <c r="Q27" s="119">
        <f t="shared" si="2"/>
        <v>17</v>
      </c>
      <c r="R27" s="120">
        <f t="shared" si="3"/>
        <v>2</v>
      </c>
      <c r="S27" s="71">
        <v>32</v>
      </c>
      <c r="T27" s="140">
        <f t="shared" si="13"/>
        <v>42</v>
      </c>
      <c r="U27" s="73"/>
      <c r="V27" s="73"/>
      <c r="W27" s="133">
        <f>ROUND(F27*0.3+0.25*F27*0.3,0)</f>
        <v>25</v>
      </c>
      <c r="X27" s="73"/>
      <c r="Y27" s="119">
        <f t="shared" si="4"/>
        <v>67</v>
      </c>
      <c r="Z27" s="120">
        <f t="shared" si="5"/>
        <v>-35</v>
      </c>
      <c r="AA27" s="71"/>
      <c r="AB27" s="98"/>
      <c r="AC27" s="68"/>
      <c r="AD27" s="70">
        <f t="shared" si="0"/>
        <v>0</v>
      </c>
      <c r="AE27" s="71"/>
      <c r="AF27" s="71"/>
      <c r="AG27" s="213"/>
    </row>
    <row r="28" spans="1:33" s="13" customFormat="1" ht="15.75">
      <c r="A28" s="112">
        <v>20</v>
      </c>
      <c r="B28" s="198" t="s">
        <v>121</v>
      </c>
      <c r="C28" s="34">
        <v>714</v>
      </c>
      <c r="D28" s="34">
        <v>6711</v>
      </c>
      <c r="E28" s="130">
        <f t="shared" si="6"/>
        <v>61.28767123287671</v>
      </c>
      <c r="F28" s="185">
        <v>30</v>
      </c>
      <c r="G28" s="185"/>
      <c r="H28" s="185"/>
      <c r="I28" s="186">
        <f t="shared" si="1"/>
        <v>30</v>
      </c>
      <c r="J28" s="271">
        <v>9</v>
      </c>
      <c r="K28" s="260">
        <v>3</v>
      </c>
      <c r="L28" s="71">
        <v>6</v>
      </c>
      <c r="M28" s="73">
        <f>ROUND(F28*0.18+0.25*F28*0.18,0)</f>
        <v>7</v>
      </c>
      <c r="N28" s="73"/>
      <c r="O28" s="74"/>
      <c r="P28" s="74"/>
      <c r="Q28" s="119">
        <f t="shared" si="2"/>
        <v>7</v>
      </c>
      <c r="R28" s="145">
        <f t="shared" si="3"/>
        <v>2</v>
      </c>
      <c r="S28" s="71">
        <v>14</v>
      </c>
      <c r="T28" s="140">
        <f t="shared" si="13"/>
        <v>19</v>
      </c>
      <c r="U28" s="73"/>
      <c r="V28" s="73"/>
      <c r="W28" s="133">
        <f>ROUND(F28*0.3+0.25*F28*0.3,0)</f>
        <v>11</v>
      </c>
      <c r="X28" s="73"/>
      <c r="Y28" s="119">
        <f t="shared" si="4"/>
        <v>30</v>
      </c>
      <c r="Z28" s="120">
        <f t="shared" si="5"/>
        <v>-16</v>
      </c>
      <c r="AA28" s="71"/>
      <c r="AB28" s="98"/>
      <c r="AC28" s="68"/>
      <c r="AD28" s="70">
        <f t="shared" si="0"/>
        <v>0</v>
      </c>
      <c r="AE28" s="71"/>
      <c r="AF28" s="71"/>
      <c r="AG28" s="213"/>
    </row>
    <row r="29" spans="1:39" s="13" customFormat="1" ht="15.75">
      <c r="A29" s="112">
        <v>21</v>
      </c>
      <c r="B29" s="198" t="s">
        <v>122</v>
      </c>
      <c r="C29" s="34">
        <v>430</v>
      </c>
      <c r="D29" s="34">
        <v>5192</v>
      </c>
      <c r="E29" s="130">
        <f t="shared" si="6"/>
        <v>67.73646444879321</v>
      </c>
      <c r="F29" s="183">
        <v>21</v>
      </c>
      <c r="G29" s="183"/>
      <c r="H29" s="183"/>
      <c r="I29" s="184">
        <f t="shared" si="1"/>
        <v>21</v>
      </c>
      <c r="J29" s="71">
        <v>5</v>
      </c>
      <c r="K29" s="260">
        <v>1</v>
      </c>
      <c r="L29" s="71">
        <v>4</v>
      </c>
      <c r="M29" s="73">
        <v>5</v>
      </c>
      <c r="N29" s="73"/>
      <c r="O29" s="74"/>
      <c r="P29" s="74"/>
      <c r="Q29" s="119">
        <f t="shared" si="2"/>
        <v>5</v>
      </c>
      <c r="R29" s="120">
        <f t="shared" si="3"/>
        <v>0</v>
      </c>
      <c r="S29" s="71">
        <v>13</v>
      </c>
      <c r="T29" s="140">
        <f t="shared" si="13"/>
        <v>13</v>
      </c>
      <c r="U29" s="73"/>
      <c r="V29" s="73"/>
      <c r="W29" s="134"/>
      <c r="X29" s="73"/>
      <c r="Y29" s="119">
        <f t="shared" si="4"/>
        <v>13</v>
      </c>
      <c r="Z29" s="120">
        <f t="shared" si="5"/>
        <v>0</v>
      </c>
      <c r="AA29" s="71"/>
      <c r="AB29" s="98"/>
      <c r="AC29" s="68"/>
      <c r="AD29" s="70">
        <f t="shared" si="0"/>
        <v>0</v>
      </c>
      <c r="AE29" s="71"/>
      <c r="AF29" s="71"/>
      <c r="AG29" s="213"/>
      <c r="AH29" s="335"/>
      <c r="AI29" s="335"/>
      <c r="AJ29" s="335"/>
      <c r="AK29" s="335"/>
      <c r="AL29" s="335"/>
      <c r="AM29" s="335"/>
    </row>
    <row r="30" spans="1:33" s="13" customFormat="1" ht="30.75" customHeight="1">
      <c r="A30" s="112">
        <v>22</v>
      </c>
      <c r="B30" s="212" t="s">
        <v>123</v>
      </c>
      <c r="C30" s="34"/>
      <c r="D30" s="34"/>
      <c r="E30" s="130" t="e">
        <f t="shared" si="6"/>
        <v>#DIV/0!</v>
      </c>
      <c r="F30" s="183"/>
      <c r="G30" s="183"/>
      <c r="H30" s="183"/>
      <c r="I30" s="184">
        <f t="shared" si="1"/>
        <v>0</v>
      </c>
      <c r="J30" s="71">
        <v>3</v>
      </c>
      <c r="K30" s="71">
        <v>0</v>
      </c>
      <c r="L30" s="71">
        <v>3</v>
      </c>
      <c r="M30" s="73"/>
      <c r="N30" s="73"/>
      <c r="O30" s="74"/>
      <c r="P30" s="74"/>
      <c r="Q30" s="119">
        <f t="shared" si="2"/>
        <v>0</v>
      </c>
      <c r="R30" s="120">
        <f t="shared" si="3"/>
        <v>3</v>
      </c>
      <c r="S30" s="71">
        <v>60</v>
      </c>
      <c r="T30" s="76"/>
      <c r="U30" s="73"/>
      <c r="V30" s="73"/>
      <c r="W30" s="73"/>
      <c r="X30" s="73"/>
      <c r="Y30" s="119">
        <f t="shared" si="4"/>
        <v>0</v>
      </c>
      <c r="Z30" s="120">
        <f t="shared" si="5"/>
        <v>60</v>
      </c>
      <c r="AA30" s="71"/>
      <c r="AB30" s="98"/>
      <c r="AC30" s="68"/>
      <c r="AD30" s="70">
        <f t="shared" si="0"/>
        <v>0</v>
      </c>
      <c r="AE30" s="71"/>
      <c r="AF30" s="71"/>
      <c r="AG30" s="213"/>
    </row>
    <row r="31" spans="1:33" s="13" customFormat="1" ht="24">
      <c r="A31" s="112">
        <v>23</v>
      </c>
      <c r="B31" s="198" t="s">
        <v>124</v>
      </c>
      <c r="C31" s="34">
        <f>783+2249</f>
        <v>3032</v>
      </c>
      <c r="D31" s="34">
        <f>3795+7392</f>
        <v>11187</v>
      </c>
      <c r="E31" s="130">
        <f t="shared" si="6"/>
        <v>47.88955479452055</v>
      </c>
      <c r="F31" s="185">
        <f>65-1</f>
        <v>64</v>
      </c>
      <c r="G31" s="185"/>
      <c r="H31" s="185"/>
      <c r="I31" s="186">
        <f t="shared" si="1"/>
        <v>64</v>
      </c>
      <c r="J31" s="71">
        <v>19</v>
      </c>
      <c r="K31" s="260">
        <v>2</v>
      </c>
      <c r="L31" s="71">
        <v>17</v>
      </c>
      <c r="M31" s="73">
        <f>ROUND(F31*0.18+13198/2940+2,0)</f>
        <v>18</v>
      </c>
      <c r="N31" s="73"/>
      <c r="O31" s="74"/>
      <c r="P31" s="74"/>
      <c r="Q31" s="119">
        <f t="shared" si="2"/>
        <v>18</v>
      </c>
      <c r="R31" s="145">
        <f t="shared" si="3"/>
        <v>1</v>
      </c>
      <c r="S31" s="71">
        <v>34</v>
      </c>
      <c r="T31" s="76">
        <f>ROUND(I31*0.5,0)</f>
        <v>32</v>
      </c>
      <c r="U31" s="73"/>
      <c r="V31" s="73"/>
      <c r="W31" s="73">
        <f>ROUND(F31*0.2,0)</f>
        <v>13</v>
      </c>
      <c r="X31" s="73"/>
      <c r="Y31" s="119">
        <f t="shared" si="4"/>
        <v>45</v>
      </c>
      <c r="Z31" s="120">
        <f t="shared" si="5"/>
        <v>-11</v>
      </c>
      <c r="AA31" s="71">
        <v>1</v>
      </c>
      <c r="AB31" s="98">
        <v>1</v>
      </c>
      <c r="AC31" s="68"/>
      <c r="AD31" s="70">
        <f t="shared" si="0"/>
        <v>0</v>
      </c>
      <c r="AE31" s="71"/>
      <c r="AF31" s="71"/>
      <c r="AG31" s="213"/>
    </row>
    <row r="32" spans="1:33" s="13" customFormat="1" ht="20.25" customHeight="1">
      <c r="A32" s="112">
        <v>24</v>
      </c>
      <c r="B32" s="198" t="s">
        <v>125</v>
      </c>
      <c r="C32" s="34">
        <v>1593</v>
      </c>
      <c r="D32" s="34">
        <v>5452</v>
      </c>
      <c r="E32" s="130">
        <f t="shared" si="6"/>
        <v>26.673189823874758</v>
      </c>
      <c r="F32" s="183">
        <v>56</v>
      </c>
      <c r="G32" s="183"/>
      <c r="H32" s="183"/>
      <c r="I32" s="184">
        <f t="shared" si="1"/>
        <v>56</v>
      </c>
      <c r="J32" s="71">
        <v>8</v>
      </c>
      <c r="K32" s="260">
        <v>1</v>
      </c>
      <c r="L32" s="71">
        <v>7</v>
      </c>
      <c r="M32" s="133">
        <f>ROUND(I32*0.1,0)</f>
        <v>6</v>
      </c>
      <c r="N32" s="73"/>
      <c r="O32" s="74"/>
      <c r="P32" s="74"/>
      <c r="Q32" s="119">
        <f t="shared" si="2"/>
        <v>6</v>
      </c>
      <c r="R32" s="145">
        <f t="shared" si="3"/>
        <v>2</v>
      </c>
      <c r="S32" s="71">
        <v>16</v>
      </c>
      <c r="T32" s="76">
        <f>ROUND(I32*0.6,0)</f>
        <v>34</v>
      </c>
      <c r="U32" s="73"/>
      <c r="V32" s="73"/>
      <c r="W32" s="73"/>
      <c r="X32" s="73"/>
      <c r="Y32" s="119">
        <f t="shared" si="4"/>
        <v>34</v>
      </c>
      <c r="Z32" s="120">
        <f t="shared" si="5"/>
        <v>-18</v>
      </c>
      <c r="AA32" s="71"/>
      <c r="AB32" s="98"/>
      <c r="AC32" s="68"/>
      <c r="AD32" s="70">
        <f t="shared" si="0"/>
        <v>0</v>
      </c>
      <c r="AE32" s="71"/>
      <c r="AF32" s="71"/>
      <c r="AG32" s="213"/>
    </row>
    <row r="33" spans="1:33" s="13" customFormat="1" ht="24">
      <c r="A33" s="112">
        <v>25</v>
      </c>
      <c r="B33" s="198" t="s">
        <v>126</v>
      </c>
      <c r="C33" s="34"/>
      <c r="D33" s="34"/>
      <c r="E33" s="130" t="e">
        <f t="shared" si="6"/>
        <v>#DIV/0!</v>
      </c>
      <c r="F33" s="183"/>
      <c r="G33" s="183"/>
      <c r="H33" s="183"/>
      <c r="I33" s="184">
        <f t="shared" si="1"/>
        <v>0</v>
      </c>
      <c r="J33" s="71">
        <v>3</v>
      </c>
      <c r="K33" s="71">
        <v>0</v>
      </c>
      <c r="L33" s="71">
        <v>3</v>
      </c>
      <c r="M33" s="73">
        <v>9</v>
      </c>
      <c r="N33" s="73"/>
      <c r="O33" s="74"/>
      <c r="P33" s="74"/>
      <c r="Q33" s="119">
        <f t="shared" si="2"/>
        <v>9</v>
      </c>
      <c r="R33" s="120">
        <f t="shared" si="3"/>
        <v>-6</v>
      </c>
      <c r="S33" s="71">
        <v>58</v>
      </c>
      <c r="T33" s="76"/>
      <c r="U33" s="73"/>
      <c r="V33" s="73"/>
      <c r="W33" s="73">
        <v>18</v>
      </c>
      <c r="X33" s="73"/>
      <c r="Y33" s="119">
        <f t="shared" si="4"/>
        <v>18</v>
      </c>
      <c r="Z33" s="120">
        <f t="shared" si="5"/>
        <v>40</v>
      </c>
      <c r="AA33" s="71"/>
      <c r="AB33" s="98"/>
      <c r="AC33" s="68"/>
      <c r="AD33" s="70">
        <f t="shared" si="0"/>
        <v>0</v>
      </c>
      <c r="AE33" s="71"/>
      <c r="AF33" s="71"/>
      <c r="AG33" s="213"/>
    </row>
    <row r="34" spans="1:33" s="13" customFormat="1" ht="24">
      <c r="A34" s="204">
        <v>26</v>
      </c>
      <c r="B34" s="198" t="s">
        <v>127</v>
      </c>
      <c r="C34" s="34"/>
      <c r="D34" s="34"/>
      <c r="E34" s="130" t="e">
        <f t="shared" si="6"/>
        <v>#DIV/0!</v>
      </c>
      <c r="F34" s="183"/>
      <c r="G34" s="183"/>
      <c r="H34" s="183"/>
      <c r="I34" s="184">
        <f t="shared" si="1"/>
        <v>0</v>
      </c>
      <c r="J34" s="272">
        <v>2</v>
      </c>
      <c r="K34" s="260"/>
      <c r="L34" s="272">
        <v>2</v>
      </c>
      <c r="M34" s="73">
        <v>0</v>
      </c>
      <c r="N34" s="73"/>
      <c r="O34" s="74"/>
      <c r="P34" s="74"/>
      <c r="Q34" s="119">
        <f t="shared" si="2"/>
        <v>0</v>
      </c>
      <c r="R34" s="120">
        <f t="shared" si="3"/>
        <v>2</v>
      </c>
      <c r="S34" s="71">
        <v>37</v>
      </c>
      <c r="T34" s="76"/>
      <c r="U34" s="73"/>
      <c r="V34" s="73"/>
      <c r="W34" s="73"/>
      <c r="X34" s="73"/>
      <c r="Y34" s="119">
        <f t="shared" si="4"/>
        <v>0</v>
      </c>
      <c r="Z34" s="120">
        <f t="shared" si="5"/>
        <v>37</v>
      </c>
      <c r="AA34" s="71"/>
      <c r="AB34" s="98"/>
      <c r="AC34" s="68"/>
      <c r="AD34" s="70">
        <f t="shared" si="0"/>
        <v>0</v>
      </c>
      <c r="AE34" s="71"/>
      <c r="AF34" s="71"/>
      <c r="AG34" s="213"/>
    </row>
    <row r="35" spans="1:33" s="13" customFormat="1" ht="24">
      <c r="A35" s="112"/>
      <c r="B35" s="202" t="s">
        <v>135</v>
      </c>
      <c r="C35" s="64"/>
      <c r="D35" s="64"/>
      <c r="E35" s="130" t="e">
        <f t="shared" si="6"/>
        <v>#DIV/0!</v>
      </c>
      <c r="F35" s="183"/>
      <c r="G35" s="183"/>
      <c r="H35" s="183"/>
      <c r="I35" s="184">
        <f>SUM(F35:H35)</f>
        <v>0</v>
      </c>
      <c r="J35" s="71">
        <v>2</v>
      </c>
      <c r="K35" s="71">
        <v>1</v>
      </c>
      <c r="L35" s="71">
        <v>1</v>
      </c>
      <c r="M35" s="74">
        <v>2</v>
      </c>
      <c r="N35" s="74"/>
      <c r="O35" s="74"/>
      <c r="P35" s="74"/>
      <c r="Q35" s="119">
        <f t="shared" si="2"/>
        <v>2</v>
      </c>
      <c r="R35" s="120">
        <f t="shared" si="3"/>
        <v>0</v>
      </c>
      <c r="S35" s="71"/>
      <c r="T35" s="77"/>
      <c r="U35" s="74"/>
      <c r="V35" s="74"/>
      <c r="W35" s="74"/>
      <c r="X35" s="74"/>
      <c r="Y35" s="119">
        <f t="shared" si="4"/>
        <v>0</v>
      </c>
      <c r="Z35" s="120">
        <f t="shared" si="5"/>
        <v>0</v>
      </c>
      <c r="AA35" s="71"/>
      <c r="AB35" s="98"/>
      <c r="AC35" s="68"/>
      <c r="AD35" s="70">
        <f t="shared" si="0"/>
        <v>0</v>
      </c>
      <c r="AE35" s="71"/>
      <c r="AF35" s="71"/>
      <c r="AG35" s="213"/>
    </row>
    <row r="36" spans="1:33" s="13" customFormat="1" ht="24">
      <c r="A36" s="112"/>
      <c r="B36" s="202" t="s">
        <v>136</v>
      </c>
      <c r="C36" s="64"/>
      <c r="D36" s="64"/>
      <c r="E36" s="130" t="e">
        <f t="shared" si="6"/>
        <v>#DIV/0!</v>
      </c>
      <c r="F36" s="183"/>
      <c r="G36" s="183"/>
      <c r="H36" s="183"/>
      <c r="I36" s="184">
        <f>SUM(F36:H36)</f>
        <v>0</v>
      </c>
      <c r="J36" s="71">
        <v>2</v>
      </c>
      <c r="K36" s="71"/>
      <c r="L36" s="71">
        <v>2</v>
      </c>
      <c r="M36" s="74">
        <v>3</v>
      </c>
      <c r="N36" s="74"/>
      <c r="O36" s="74"/>
      <c r="P36" s="74"/>
      <c r="Q36" s="119">
        <f t="shared" si="2"/>
        <v>3</v>
      </c>
      <c r="R36" s="120">
        <f t="shared" si="3"/>
        <v>-1</v>
      </c>
      <c r="S36" s="71"/>
      <c r="T36" s="77"/>
      <c r="U36" s="74"/>
      <c r="V36" s="74"/>
      <c r="W36" s="74"/>
      <c r="X36" s="74"/>
      <c r="Y36" s="119">
        <f t="shared" si="4"/>
        <v>0</v>
      </c>
      <c r="Z36" s="120">
        <f t="shared" si="5"/>
        <v>0</v>
      </c>
      <c r="AA36" s="71"/>
      <c r="AB36" s="98"/>
      <c r="AC36" s="68"/>
      <c r="AD36" s="70">
        <f t="shared" si="0"/>
        <v>0</v>
      </c>
      <c r="AE36" s="71"/>
      <c r="AF36" s="71"/>
      <c r="AG36" s="213"/>
    </row>
    <row r="37" spans="1:33" s="13" customFormat="1" ht="24">
      <c r="A37" s="112"/>
      <c r="B37" s="202" t="s">
        <v>137</v>
      </c>
      <c r="C37" s="64"/>
      <c r="D37" s="64"/>
      <c r="E37" s="130" t="e">
        <f t="shared" si="6"/>
        <v>#DIV/0!</v>
      </c>
      <c r="F37" s="183"/>
      <c r="G37" s="183"/>
      <c r="H37" s="183"/>
      <c r="I37" s="184">
        <v>0</v>
      </c>
      <c r="J37" s="71">
        <v>1</v>
      </c>
      <c r="K37" s="71"/>
      <c r="L37" s="71">
        <v>1</v>
      </c>
      <c r="M37" s="74">
        <v>1</v>
      </c>
      <c r="N37" s="74"/>
      <c r="O37" s="74"/>
      <c r="P37" s="74"/>
      <c r="Q37" s="119">
        <f t="shared" si="2"/>
        <v>1</v>
      </c>
      <c r="R37" s="120"/>
      <c r="S37" s="71"/>
      <c r="T37" s="77"/>
      <c r="U37" s="74"/>
      <c r="V37" s="74"/>
      <c r="W37" s="74"/>
      <c r="X37" s="74"/>
      <c r="Y37" s="119"/>
      <c r="Z37" s="120"/>
      <c r="AA37" s="71"/>
      <c r="AB37" s="98"/>
      <c r="AC37" s="68"/>
      <c r="AD37" s="70">
        <f t="shared" si="0"/>
        <v>0</v>
      </c>
      <c r="AE37" s="71"/>
      <c r="AF37" s="71"/>
      <c r="AG37" s="71"/>
    </row>
    <row r="38" spans="1:33" s="13" customFormat="1" ht="24">
      <c r="A38" s="112"/>
      <c r="B38" s="202" t="s">
        <v>138</v>
      </c>
      <c r="C38" s="64"/>
      <c r="D38" s="64"/>
      <c r="E38" s="130" t="e">
        <f t="shared" si="6"/>
        <v>#DIV/0!</v>
      </c>
      <c r="F38" s="183"/>
      <c r="G38" s="183"/>
      <c r="H38" s="183"/>
      <c r="I38" s="184">
        <v>0</v>
      </c>
      <c r="J38" s="71">
        <v>1</v>
      </c>
      <c r="K38" s="71"/>
      <c r="L38" s="71">
        <v>1</v>
      </c>
      <c r="M38" s="74">
        <v>1</v>
      </c>
      <c r="N38" s="74"/>
      <c r="O38" s="74"/>
      <c r="P38" s="74"/>
      <c r="Q38" s="119">
        <f t="shared" si="2"/>
        <v>1</v>
      </c>
      <c r="R38" s="120"/>
      <c r="S38" s="71"/>
      <c r="T38" s="77"/>
      <c r="U38" s="74"/>
      <c r="V38" s="74"/>
      <c r="W38" s="74"/>
      <c r="X38" s="74"/>
      <c r="Y38" s="119"/>
      <c r="Z38" s="120"/>
      <c r="AA38" s="71"/>
      <c r="AB38" s="98"/>
      <c r="AC38" s="68"/>
      <c r="AD38" s="70">
        <f t="shared" si="0"/>
        <v>0</v>
      </c>
      <c r="AE38" s="71"/>
      <c r="AF38" s="71"/>
      <c r="AG38" s="71"/>
    </row>
    <row r="39" spans="1:33" s="60" customFormat="1" ht="25.5" customHeight="1">
      <c r="A39" s="346" t="s">
        <v>139</v>
      </c>
      <c r="B39" s="347"/>
      <c r="C39" s="78">
        <f>SUM(C9:C31)</f>
        <v>20568</v>
      </c>
      <c r="D39" s="78">
        <f>SUM(D9:D31)</f>
        <v>146681</v>
      </c>
      <c r="E39" s="130">
        <f t="shared" si="6"/>
        <v>62.79152397260274</v>
      </c>
      <c r="F39" s="197">
        <f>SUM(F9:F31)</f>
        <v>598</v>
      </c>
      <c r="G39" s="197">
        <f>SUM(G9:G36)</f>
        <v>36</v>
      </c>
      <c r="H39" s="197">
        <f>SUM(H9:H36)</f>
        <v>6</v>
      </c>
      <c r="I39" s="197">
        <f>SUM(F39:H39)</f>
        <v>640</v>
      </c>
      <c r="J39" s="79">
        <f>SUM(J9:J38)</f>
        <v>193</v>
      </c>
      <c r="K39" s="79">
        <f aca="true" t="shared" si="14" ref="K39:P39">SUM(K9:K36)</f>
        <v>38</v>
      </c>
      <c r="L39" s="79">
        <f>SUM(L9:L38)</f>
        <v>155</v>
      </c>
      <c r="M39" s="80">
        <f>SUM(M9:M38)</f>
        <v>182</v>
      </c>
      <c r="N39" s="80">
        <f t="shared" si="14"/>
        <v>20</v>
      </c>
      <c r="O39" s="80">
        <f t="shared" si="14"/>
        <v>5</v>
      </c>
      <c r="P39" s="80">
        <f t="shared" si="14"/>
        <v>0</v>
      </c>
      <c r="Q39" s="122">
        <f t="shared" si="2"/>
        <v>207</v>
      </c>
      <c r="R39" s="121">
        <f>J39-Q39</f>
        <v>-14</v>
      </c>
      <c r="S39" s="79">
        <f aca="true" t="shared" si="15" ref="S39:X39">SUM(S9:S36)</f>
        <v>525</v>
      </c>
      <c r="T39" s="80">
        <f t="shared" si="15"/>
        <v>405</v>
      </c>
      <c r="U39" s="80">
        <f t="shared" si="15"/>
        <v>90</v>
      </c>
      <c r="V39" s="80">
        <f t="shared" si="15"/>
        <v>30</v>
      </c>
      <c r="W39" s="80">
        <f t="shared" si="15"/>
        <v>129.75</v>
      </c>
      <c r="X39" s="80">
        <f t="shared" si="15"/>
        <v>0</v>
      </c>
      <c r="Y39" s="123">
        <f>ROUND(SUM(T39:X39),0)</f>
        <v>655</v>
      </c>
      <c r="Z39" s="124">
        <f t="shared" si="5"/>
        <v>-130</v>
      </c>
      <c r="AA39" s="79">
        <f>SUM(AA9:AA36)</f>
        <v>2</v>
      </c>
      <c r="AB39" s="125">
        <f>SUM(AB9:AB36)</f>
        <v>3.1125</v>
      </c>
      <c r="AC39" s="126">
        <f>SUM(AC9:AC36)</f>
        <v>0</v>
      </c>
      <c r="AD39" s="127">
        <f t="shared" si="0"/>
        <v>-1.1124999999999998</v>
      </c>
      <c r="AE39" s="79">
        <f>SUM(AE9:AE36)</f>
        <v>0</v>
      </c>
      <c r="AF39" s="79">
        <f>SUM(AF9:AF36)</f>
        <v>0</v>
      </c>
      <c r="AG39" s="79"/>
    </row>
  </sheetData>
  <sheetProtection/>
  <mergeCells count="25">
    <mergeCell ref="A39:B39"/>
    <mergeCell ref="A6:A8"/>
    <mergeCell ref="F6:I6"/>
    <mergeCell ref="L7:L8"/>
    <mergeCell ref="B6:B8"/>
    <mergeCell ref="F7:F8"/>
    <mergeCell ref="G7:G8"/>
    <mergeCell ref="H7:H8"/>
    <mergeCell ref="J6:AD6"/>
    <mergeCell ref="AD7:AD8"/>
    <mergeCell ref="AE6:AG7"/>
    <mergeCell ref="AB7:AB8"/>
    <mergeCell ref="AC7:AC8"/>
    <mergeCell ref="Z7:Z8"/>
    <mergeCell ref="M7:Q7"/>
    <mergeCell ref="C6:C8"/>
    <mergeCell ref="D6:D8"/>
    <mergeCell ref="J7:J8"/>
    <mergeCell ref="S7:S8"/>
    <mergeCell ref="I7:I8"/>
    <mergeCell ref="AA7:AA8"/>
    <mergeCell ref="T7:Y7"/>
    <mergeCell ref="R7:R8"/>
    <mergeCell ref="E6:E8"/>
    <mergeCell ref="K7:K8"/>
  </mergeCells>
  <printOptions/>
  <pageMargins left="0.25" right="0.25" top="0.75" bottom="0.75" header="0.3" footer="0.3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21.625" style="8" customWidth="1"/>
    <col min="2" max="2" width="9.125" style="8" customWidth="1"/>
    <col min="3" max="3" width="5.875" style="8" customWidth="1"/>
    <col min="4" max="4" width="8.00390625" style="8" customWidth="1"/>
    <col min="5" max="5" width="5.875" style="277" customWidth="1"/>
    <col min="6" max="7" width="6.25390625" style="277" customWidth="1"/>
    <col min="8" max="8" width="6.00390625" style="7" customWidth="1"/>
    <col min="9" max="9" width="5.875" style="7" customWidth="1"/>
    <col min="10" max="10" width="6.00390625" style="277" customWidth="1"/>
    <col min="11" max="11" width="6.75390625" style="7" customWidth="1"/>
    <col min="12" max="12" width="6.375" style="7" customWidth="1"/>
    <col min="13" max="13" width="5.875" style="8" customWidth="1"/>
    <col min="14" max="14" width="6.25390625" style="8" customWidth="1"/>
    <col min="15" max="15" width="6.75390625" style="8" customWidth="1"/>
    <col min="16" max="16" width="5.75390625" style="5" customWidth="1"/>
    <col min="17" max="18" width="6.75390625" style="5" customWidth="1"/>
    <col min="19" max="16384" width="9.125" style="5" customWidth="1"/>
  </cols>
  <sheetData>
    <row r="1" spans="1:23" s="1" customFormat="1" ht="15.75">
      <c r="A1" s="47"/>
      <c r="B1" s="48" t="s">
        <v>64</v>
      </c>
      <c r="C1" s="62" t="str">
        <f>'[1]Kadar.ode.'!C1</f>
        <v>КЛИНИЧКО БОЛНИЧКИ ЦЕНТАР ЗЕМУН-БЕОГРАД</v>
      </c>
      <c r="D1" s="43"/>
      <c r="E1" s="249"/>
      <c r="F1" s="249"/>
      <c r="G1" s="249"/>
      <c r="H1" s="43"/>
      <c r="I1" s="43"/>
      <c r="J1" s="249"/>
      <c r="K1" s="43"/>
      <c r="L1" s="43"/>
      <c r="M1" s="43"/>
      <c r="N1" s="45"/>
      <c r="O1" s="3"/>
      <c r="P1" s="3"/>
      <c r="Q1" s="3"/>
      <c r="R1" s="12"/>
      <c r="S1" s="3"/>
      <c r="T1" s="12"/>
      <c r="W1" s="4"/>
    </row>
    <row r="2" spans="1:23" s="1" customFormat="1" ht="15.75">
      <c r="A2" s="47"/>
      <c r="B2" s="48" t="s">
        <v>65</v>
      </c>
      <c r="C2" s="62" t="str">
        <f>'[1]Kadar.ode.'!C2</f>
        <v>07030100</v>
      </c>
      <c r="D2" s="43"/>
      <c r="E2" s="249"/>
      <c r="F2" s="249"/>
      <c r="G2" s="249"/>
      <c r="H2" s="43"/>
      <c r="I2" s="43"/>
      <c r="J2" s="249"/>
      <c r="K2" s="43"/>
      <c r="L2" s="43"/>
      <c r="M2" s="43"/>
      <c r="N2" s="45"/>
      <c r="O2" s="3"/>
      <c r="P2" s="3"/>
      <c r="Q2" s="3"/>
      <c r="R2" s="12"/>
      <c r="S2" s="3"/>
      <c r="T2" s="12"/>
      <c r="W2" s="4"/>
    </row>
    <row r="3" spans="1:23" s="1" customFormat="1" ht="15.75">
      <c r="A3" s="47"/>
      <c r="B3" s="48" t="s">
        <v>67</v>
      </c>
      <c r="C3" s="219" t="str">
        <f>'Kadar.ode.'!D3</f>
        <v>31.12.2017.</v>
      </c>
      <c r="D3" s="220"/>
      <c r="E3" s="249"/>
      <c r="F3" s="249"/>
      <c r="G3" s="249"/>
      <c r="H3" s="43"/>
      <c r="I3" s="43"/>
      <c r="J3" s="249"/>
      <c r="K3" s="43"/>
      <c r="L3" s="43"/>
      <c r="M3" s="43"/>
      <c r="N3" s="45"/>
      <c r="O3" s="3"/>
      <c r="P3" s="3"/>
      <c r="Q3" s="3"/>
      <c r="R3" s="12"/>
      <c r="S3" s="3"/>
      <c r="T3" s="12"/>
      <c r="W3" s="4"/>
    </row>
    <row r="4" spans="1:23" s="1" customFormat="1" ht="15.75">
      <c r="A4" s="47"/>
      <c r="B4" s="48" t="s">
        <v>66</v>
      </c>
      <c r="C4" s="42" t="s">
        <v>95</v>
      </c>
      <c r="D4" s="44"/>
      <c r="E4" s="251"/>
      <c r="F4" s="251"/>
      <c r="G4" s="251"/>
      <c r="H4" s="44"/>
      <c r="I4" s="44"/>
      <c r="J4" s="251"/>
      <c r="K4" s="44"/>
      <c r="L4" s="44"/>
      <c r="M4" s="44"/>
      <c r="N4" s="46"/>
      <c r="O4" s="3"/>
      <c r="P4" s="3"/>
      <c r="Q4" s="3"/>
      <c r="R4" s="12"/>
      <c r="S4" s="3"/>
      <c r="T4" s="12"/>
      <c r="W4" s="4"/>
    </row>
    <row r="5" spans="1:23" s="1" customFormat="1" ht="10.5" customHeight="1">
      <c r="A5" s="28"/>
      <c r="C5" s="38"/>
      <c r="E5" s="9"/>
      <c r="F5" s="9"/>
      <c r="G5" s="9"/>
      <c r="H5" s="9"/>
      <c r="I5" s="9"/>
      <c r="J5" s="9"/>
      <c r="K5" s="9"/>
      <c r="L5" s="9"/>
      <c r="M5" s="9"/>
      <c r="O5" s="3"/>
      <c r="P5" s="3"/>
      <c r="Q5" s="3"/>
      <c r="R5" s="12"/>
      <c r="S5" s="3"/>
      <c r="T5" s="12"/>
      <c r="W5" s="4"/>
    </row>
    <row r="6" spans="1:18" ht="55.5" customHeight="1">
      <c r="A6" s="355" t="s">
        <v>29</v>
      </c>
      <c r="B6" s="354" t="s">
        <v>73</v>
      </c>
      <c r="C6" s="354" t="s">
        <v>8</v>
      </c>
      <c r="D6" s="354" t="s">
        <v>9</v>
      </c>
      <c r="E6" s="356" t="s">
        <v>75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3" t="s">
        <v>72</v>
      </c>
      <c r="Q6" s="353"/>
      <c r="R6" s="353"/>
    </row>
    <row r="7" spans="1:18" s="15" customFormat="1" ht="88.5" customHeight="1">
      <c r="A7" s="355"/>
      <c r="B7" s="354"/>
      <c r="C7" s="354"/>
      <c r="D7" s="354"/>
      <c r="E7" s="274" t="s">
        <v>56</v>
      </c>
      <c r="F7" s="274" t="s">
        <v>68</v>
      </c>
      <c r="G7" s="274" t="s">
        <v>69</v>
      </c>
      <c r="H7" s="83" t="s">
        <v>83</v>
      </c>
      <c r="I7" s="83" t="s">
        <v>84</v>
      </c>
      <c r="J7" s="274" t="s">
        <v>76</v>
      </c>
      <c r="K7" s="83" t="s">
        <v>77</v>
      </c>
      <c r="L7" s="83" t="s">
        <v>78</v>
      </c>
      <c r="M7" s="226" t="s">
        <v>57</v>
      </c>
      <c r="N7" s="83" t="s">
        <v>79</v>
      </c>
      <c r="O7" s="83" t="s">
        <v>80</v>
      </c>
      <c r="P7" s="226" t="s">
        <v>51</v>
      </c>
      <c r="Q7" s="226" t="s">
        <v>52</v>
      </c>
      <c r="R7" s="226" t="s">
        <v>53</v>
      </c>
    </row>
    <row r="8" spans="1:18" ht="12" customHeight="1" thickBot="1">
      <c r="A8" s="33" t="s">
        <v>55</v>
      </c>
      <c r="B8" s="81">
        <v>15</v>
      </c>
      <c r="C8" s="81">
        <v>3</v>
      </c>
      <c r="D8" s="81">
        <v>16755</v>
      </c>
      <c r="E8" s="34">
        <v>5</v>
      </c>
      <c r="F8" s="34">
        <v>2</v>
      </c>
      <c r="G8" s="34">
        <v>3</v>
      </c>
      <c r="H8" s="84">
        <f>ROUND(D8/3400,0)</f>
        <v>5</v>
      </c>
      <c r="I8" s="120">
        <f aca="true" t="shared" si="0" ref="I8:I17">E8-H8</f>
        <v>0</v>
      </c>
      <c r="J8" s="34">
        <v>18</v>
      </c>
      <c r="K8" s="84">
        <f>H8*4</f>
        <v>20</v>
      </c>
      <c r="L8" s="120">
        <f aca="true" t="shared" si="1" ref="L8:L17">J8-K8</f>
        <v>-2</v>
      </c>
      <c r="M8" s="227"/>
      <c r="N8" s="86"/>
      <c r="O8" s="69">
        <f aca="true" t="shared" si="2" ref="O8:O17">M8-N8</f>
        <v>0</v>
      </c>
      <c r="P8" s="230"/>
      <c r="Q8" s="230"/>
      <c r="R8" s="230"/>
    </row>
    <row r="9" spans="1:18" ht="12" customHeight="1">
      <c r="A9" s="206" t="s">
        <v>132</v>
      </c>
      <c r="B9" s="81">
        <v>38</v>
      </c>
      <c r="C9" s="207">
        <v>2</v>
      </c>
      <c r="D9" s="81"/>
      <c r="E9" s="275">
        <v>2</v>
      </c>
      <c r="F9" s="275"/>
      <c r="G9" s="34">
        <v>2</v>
      </c>
      <c r="H9" s="85">
        <v>8</v>
      </c>
      <c r="I9" s="120">
        <f t="shared" si="0"/>
        <v>-6</v>
      </c>
      <c r="J9" s="34">
        <v>4</v>
      </c>
      <c r="K9" s="86">
        <f>H9*2</f>
        <v>16</v>
      </c>
      <c r="L9" s="120">
        <f t="shared" si="1"/>
        <v>-12</v>
      </c>
      <c r="M9" s="227"/>
      <c r="N9" s="86"/>
      <c r="O9" s="69">
        <f t="shared" si="2"/>
        <v>0</v>
      </c>
      <c r="P9" s="230"/>
      <c r="Q9" s="230"/>
      <c r="R9" s="230"/>
    </row>
    <row r="10" spans="1:18" ht="12" customHeight="1">
      <c r="A10" s="49"/>
      <c r="B10" s="81"/>
      <c r="C10" s="81"/>
      <c r="D10" s="81"/>
      <c r="E10" s="34"/>
      <c r="F10" s="34"/>
      <c r="G10" s="34"/>
      <c r="H10" s="86"/>
      <c r="I10" s="69">
        <f t="shared" si="0"/>
        <v>0</v>
      </c>
      <c r="J10" s="34"/>
      <c r="K10" s="86"/>
      <c r="L10" s="69">
        <f t="shared" si="1"/>
        <v>0</v>
      </c>
      <c r="M10" s="227"/>
      <c r="N10" s="86"/>
      <c r="O10" s="69">
        <f t="shared" si="2"/>
        <v>0</v>
      </c>
      <c r="P10" s="230"/>
      <c r="Q10" s="230"/>
      <c r="R10" s="230"/>
    </row>
    <row r="11" spans="1:18" ht="12" customHeight="1">
      <c r="A11" s="33"/>
      <c r="B11" s="81"/>
      <c r="C11" s="81"/>
      <c r="D11" s="81"/>
      <c r="E11" s="276"/>
      <c r="F11" s="276"/>
      <c r="G11" s="276"/>
      <c r="H11" s="86"/>
      <c r="I11" s="69">
        <f t="shared" si="0"/>
        <v>0</v>
      </c>
      <c r="J11" s="276"/>
      <c r="K11" s="86"/>
      <c r="L11" s="69">
        <f t="shared" si="1"/>
        <v>0</v>
      </c>
      <c r="M11" s="228"/>
      <c r="N11" s="86"/>
      <c r="O11" s="69">
        <f t="shared" si="2"/>
        <v>0</v>
      </c>
      <c r="P11" s="230"/>
      <c r="Q11" s="230"/>
      <c r="R11" s="230"/>
    </row>
    <row r="12" spans="1:18" ht="12" customHeight="1">
      <c r="A12" s="33"/>
      <c r="B12" s="81"/>
      <c r="C12" s="81"/>
      <c r="D12" s="81"/>
      <c r="E12" s="276"/>
      <c r="F12" s="276"/>
      <c r="G12" s="276"/>
      <c r="H12" s="86"/>
      <c r="I12" s="69">
        <f t="shared" si="0"/>
        <v>0</v>
      </c>
      <c r="J12" s="276"/>
      <c r="K12" s="86"/>
      <c r="L12" s="69">
        <f t="shared" si="1"/>
        <v>0</v>
      </c>
      <c r="M12" s="228"/>
      <c r="N12" s="86"/>
      <c r="O12" s="69">
        <f t="shared" si="2"/>
        <v>0</v>
      </c>
      <c r="P12" s="230"/>
      <c r="Q12" s="230"/>
      <c r="R12" s="230"/>
    </row>
    <row r="13" spans="1:18" ht="12" customHeight="1">
      <c r="A13" s="33"/>
      <c r="B13" s="81"/>
      <c r="C13" s="81"/>
      <c r="D13" s="81"/>
      <c r="E13" s="276"/>
      <c r="F13" s="276"/>
      <c r="G13" s="276"/>
      <c r="H13" s="86"/>
      <c r="I13" s="69">
        <f t="shared" si="0"/>
        <v>0</v>
      </c>
      <c r="J13" s="276"/>
      <c r="K13" s="86"/>
      <c r="L13" s="69">
        <f t="shared" si="1"/>
        <v>0</v>
      </c>
      <c r="M13" s="228"/>
      <c r="N13" s="86"/>
      <c r="O13" s="69">
        <f t="shared" si="2"/>
        <v>0</v>
      </c>
      <c r="P13" s="230"/>
      <c r="Q13" s="230"/>
      <c r="R13" s="230"/>
    </row>
    <row r="14" spans="1:18" ht="12" customHeight="1">
      <c r="A14" s="33"/>
      <c r="B14" s="81"/>
      <c r="C14" s="81"/>
      <c r="D14" s="81"/>
      <c r="E14" s="276"/>
      <c r="F14" s="276"/>
      <c r="G14" s="276"/>
      <c r="H14" s="86"/>
      <c r="I14" s="69">
        <f t="shared" si="0"/>
        <v>0</v>
      </c>
      <c r="J14" s="276"/>
      <c r="K14" s="86"/>
      <c r="L14" s="69">
        <f t="shared" si="1"/>
        <v>0</v>
      </c>
      <c r="M14" s="228"/>
      <c r="N14" s="86"/>
      <c r="O14" s="69">
        <f t="shared" si="2"/>
        <v>0</v>
      </c>
      <c r="P14" s="230"/>
      <c r="Q14" s="230"/>
      <c r="R14" s="230"/>
    </row>
    <row r="15" spans="1:18" ht="12" customHeight="1">
      <c r="A15" s="33"/>
      <c r="B15" s="81"/>
      <c r="C15" s="81"/>
      <c r="D15" s="81"/>
      <c r="E15" s="276"/>
      <c r="F15" s="276"/>
      <c r="G15" s="276"/>
      <c r="H15" s="86"/>
      <c r="I15" s="69">
        <f t="shared" si="0"/>
        <v>0</v>
      </c>
      <c r="J15" s="276"/>
      <c r="K15" s="86"/>
      <c r="L15" s="69">
        <f t="shared" si="1"/>
        <v>0</v>
      </c>
      <c r="M15" s="228"/>
      <c r="N15" s="86"/>
      <c r="O15" s="69">
        <f t="shared" si="2"/>
        <v>0</v>
      </c>
      <c r="P15" s="230"/>
      <c r="Q15" s="230"/>
      <c r="R15" s="230"/>
    </row>
    <row r="16" spans="1:18" ht="12" customHeight="1">
      <c r="A16" s="33"/>
      <c r="B16" s="81"/>
      <c r="C16" s="81"/>
      <c r="D16" s="81"/>
      <c r="E16" s="276"/>
      <c r="F16" s="276"/>
      <c r="G16" s="276"/>
      <c r="H16" s="86"/>
      <c r="I16" s="69">
        <f t="shared" si="0"/>
        <v>0</v>
      </c>
      <c r="J16" s="276"/>
      <c r="K16" s="86"/>
      <c r="L16" s="69">
        <f t="shared" si="1"/>
        <v>0</v>
      </c>
      <c r="M16" s="228"/>
      <c r="N16" s="86"/>
      <c r="O16" s="69">
        <f t="shared" si="2"/>
        <v>0</v>
      </c>
      <c r="P16" s="230"/>
      <c r="Q16" s="230"/>
      <c r="R16" s="230"/>
    </row>
    <row r="17" spans="1:18" ht="12" customHeight="1">
      <c r="A17" s="33"/>
      <c r="B17" s="81"/>
      <c r="C17" s="81"/>
      <c r="D17" s="81"/>
      <c r="E17" s="276"/>
      <c r="F17" s="276"/>
      <c r="G17" s="276"/>
      <c r="H17" s="86"/>
      <c r="I17" s="69">
        <f t="shared" si="0"/>
        <v>0</v>
      </c>
      <c r="J17" s="276"/>
      <c r="K17" s="86"/>
      <c r="L17" s="69">
        <f t="shared" si="1"/>
        <v>0</v>
      </c>
      <c r="M17" s="228"/>
      <c r="N17" s="86"/>
      <c r="O17" s="69">
        <f t="shared" si="2"/>
        <v>0</v>
      </c>
      <c r="P17" s="230"/>
      <c r="Q17" s="230"/>
      <c r="R17" s="230"/>
    </row>
    <row r="18" spans="1:18" s="16" customFormat="1" ht="12" customHeight="1">
      <c r="A18" s="55" t="s">
        <v>0</v>
      </c>
      <c r="B18" s="82"/>
      <c r="C18" s="82"/>
      <c r="D18" s="82"/>
      <c r="E18" s="248">
        <f aca="true" t="shared" si="3" ref="E18:R18">SUM(E8:E17)</f>
        <v>7</v>
      </c>
      <c r="F18" s="248">
        <f t="shared" si="3"/>
        <v>2</v>
      </c>
      <c r="G18" s="248">
        <f t="shared" si="3"/>
        <v>5</v>
      </c>
      <c r="H18" s="87">
        <f t="shared" si="3"/>
        <v>13</v>
      </c>
      <c r="I18" s="87">
        <f t="shared" si="3"/>
        <v>-6</v>
      </c>
      <c r="J18" s="248">
        <f t="shared" si="3"/>
        <v>22</v>
      </c>
      <c r="K18" s="87">
        <f t="shared" si="3"/>
        <v>36</v>
      </c>
      <c r="L18" s="87">
        <f t="shared" si="3"/>
        <v>-14</v>
      </c>
      <c r="M18" s="229">
        <f t="shared" si="3"/>
        <v>0</v>
      </c>
      <c r="N18" s="88">
        <f t="shared" si="3"/>
        <v>0</v>
      </c>
      <c r="O18" s="88">
        <f t="shared" si="3"/>
        <v>0</v>
      </c>
      <c r="P18" s="229">
        <f t="shared" si="3"/>
        <v>0</v>
      </c>
      <c r="Q18" s="229">
        <f t="shared" si="3"/>
        <v>0</v>
      </c>
      <c r="R18" s="229">
        <f t="shared" si="3"/>
        <v>0</v>
      </c>
    </row>
    <row r="19" ht="12.75">
      <c r="A19" s="32" t="s">
        <v>74</v>
      </c>
    </row>
    <row r="20" spans="1:15" s="11" customFormat="1" ht="27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2:15" s="11" customFormat="1" ht="17.25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8" ht="12.75">
      <c r="A22" s="29"/>
      <c r="B22" s="29"/>
      <c r="C22" s="29"/>
      <c r="D22" s="29"/>
      <c r="E22" s="278"/>
      <c r="F22" s="278"/>
      <c r="G22" s="278"/>
      <c r="H22" s="30"/>
      <c r="I22" s="30"/>
      <c r="J22" s="278"/>
      <c r="K22" s="30"/>
      <c r="L22" s="30"/>
      <c r="M22" s="29"/>
      <c r="N22" s="29"/>
      <c r="O22" s="29"/>
      <c r="R22" s="26"/>
    </row>
    <row r="23" spans="1:15" ht="12.75">
      <c r="A23" s="29"/>
      <c r="B23" s="29"/>
      <c r="C23" s="29"/>
      <c r="D23" s="29"/>
      <c r="E23" s="278"/>
      <c r="F23" s="278"/>
      <c r="G23" s="278"/>
      <c r="H23" s="30"/>
      <c r="I23" s="30"/>
      <c r="J23" s="278"/>
      <c r="K23" s="30"/>
      <c r="L23" s="30"/>
      <c r="M23" s="29"/>
      <c r="N23" s="29"/>
      <c r="O23" s="29"/>
    </row>
    <row r="24" spans="1:15" ht="12.75">
      <c r="A24" s="29"/>
      <c r="B24" s="29"/>
      <c r="C24" s="29"/>
      <c r="D24" s="29"/>
      <c r="E24" s="278"/>
      <c r="F24" s="278"/>
      <c r="G24" s="278"/>
      <c r="H24" s="30"/>
      <c r="I24" s="30"/>
      <c r="J24" s="278"/>
      <c r="K24" s="30"/>
      <c r="L24" s="30"/>
      <c r="M24" s="29"/>
      <c r="N24" s="29"/>
      <c r="O24" s="29"/>
    </row>
  </sheetData>
  <sheetProtection/>
  <mergeCells count="6">
    <mergeCell ref="P6:R6"/>
    <mergeCell ref="C6:C7"/>
    <mergeCell ref="D6:D7"/>
    <mergeCell ref="A6:A7"/>
    <mergeCell ref="B6:B7"/>
    <mergeCell ref="E6:O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4.125" style="1" customWidth="1"/>
    <col min="2" max="2" width="30.375" style="1" customWidth="1"/>
    <col min="3" max="3" width="6.75390625" style="4" customWidth="1"/>
    <col min="4" max="4" width="5.00390625" style="4" customWidth="1"/>
    <col min="5" max="8" width="5.25390625" style="256" customWidth="1"/>
    <col min="9" max="9" width="5.25390625" style="4" customWidth="1"/>
    <col min="10" max="10" width="5.25390625" style="6" customWidth="1"/>
    <col min="11" max="11" width="4.625" style="6" customWidth="1"/>
    <col min="12" max="12" width="4.875" style="1" customWidth="1"/>
    <col min="13" max="13" width="5.25390625" style="256" customWidth="1"/>
    <col min="14" max="15" width="5.25390625" style="1" customWidth="1"/>
    <col min="16" max="16" width="5.375" style="1" customWidth="1"/>
    <col min="17" max="17" width="5.75390625" style="1" customWidth="1"/>
    <col min="18" max="18" width="5.25390625" style="9" customWidth="1"/>
    <col min="19" max="20" width="5.25390625" style="1" customWidth="1"/>
    <col min="21" max="24" width="5.25390625" style="9" customWidth="1"/>
    <col min="25" max="16384" width="9.125" style="1" customWidth="1"/>
  </cols>
  <sheetData>
    <row r="1" spans="2:17" ht="15.75">
      <c r="B1" s="47"/>
      <c r="C1" s="48" t="s">
        <v>64</v>
      </c>
      <c r="D1" s="62" t="str">
        <f>'[1]Kadar.ode.'!C1</f>
        <v>КЛИНИЧКО БОЛНИЧКИ ЦЕНТАР ЗЕМУН-БЕОГРАД</v>
      </c>
      <c r="E1" s="249"/>
      <c r="F1" s="249"/>
      <c r="G1" s="249"/>
      <c r="H1" s="249"/>
      <c r="I1" s="43"/>
      <c r="J1" s="43"/>
      <c r="K1" s="43"/>
      <c r="L1" s="43"/>
      <c r="M1" s="249"/>
      <c r="N1" s="43"/>
      <c r="O1" s="43"/>
      <c r="P1" s="43"/>
      <c r="Q1" s="45"/>
    </row>
    <row r="2" spans="2:17" ht="15.75">
      <c r="B2" s="47"/>
      <c r="C2" s="48" t="s">
        <v>65</v>
      </c>
      <c r="D2" s="62" t="str">
        <f>'[1]Kadar.ode.'!C2</f>
        <v>07030100</v>
      </c>
      <c r="E2" s="249"/>
      <c r="F2" s="249"/>
      <c r="G2" s="249"/>
      <c r="H2" s="249"/>
      <c r="I2" s="43"/>
      <c r="J2" s="43"/>
      <c r="K2" s="43"/>
      <c r="L2" s="43"/>
      <c r="M2" s="249"/>
      <c r="N2" s="43"/>
      <c r="O2" s="43"/>
      <c r="P2" s="43"/>
      <c r="Q2" s="45"/>
    </row>
    <row r="3" spans="2:17" ht="15.75">
      <c r="B3" s="47"/>
      <c r="C3" s="48" t="s">
        <v>67</v>
      </c>
      <c r="D3" s="219" t="str">
        <f>'Kadar.ode.'!D3</f>
        <v>31.12.2017.</v>
      </c>
      <c r="E3" s="250"/>
      <c r="F3" s="249"/>
      <c r="G3" s="249"/>
      <c r="H3" s="249"/>
      <c r="I3" s="43"/>
      <c r="J3" s="43"/>
      <c r="K3" s="43"/>
      <c r="L3" s="43"/>
      <c r="M3" s="249"/>
      <c r="N3" s="43"/>
      <c r="O3" s="43"/>
      <c r="P3" s="43"/>
      <c r="Q3" s="45"/>
    </row>
    <row r="4" spans="2:17" ht="15.75">
      <c r="B4" s="47"/>
      <c r="C4" s="48" t="s">
        <v>66</v>
      </c>
      <c r="D4" s="42" t="s">
        <v>96</v>
      </c>
      <c r="E4" s="251"/>
      <c r="F4" s="251"/>
      <c r="G4" s="252"/>
      <c r="H4" s="252"/>
      <c r="I4" s="44"/>
      <c r="J4" s="44"/>
      <c r="K4" s="44"/>
      <c r="L4" s="44"/>
      <c r="M4" s="251"/>
      <c r="N4" s="44"/>
      <c r="O4" s="44"/>
      <c r="P4" s="44"/>
      <c r="Q4" s="46"/>
    </row>
    <row r="5" spans="2:14" ht="9" customHeight="1">
      <c r="B5" s="28"/>
      <c r="C5" s="1"/>
      <c r="D5" s="27"/>
      <c r="E5" s="253"/>
      <c r="F5" s="253"/>
      <c r="G5" s="254"/>
      <c r="H5" s="254"/>
      <c r="I5" s="2"/>
      <c r="J5" s="2"/>
      <c r="K5" s="2"/>
      <c r="L5" s="2"/>
      <c r="M5" s="253"/>
      <c r="N5" s="2"/>
    </row>
    <row r="6" spans="1:24" ht="45.75" customHeight="1">
      <c r="A6" s="360" t="s">
        <v>133</v>
      </c>
      <c r="B6" s="359" t="s">
        <v>93</v>
      </c>
      <c r="C6" s="336" t="s">
        <v>10</v>
      </c>
      <c r="D6" s="336" t="s">
        <v>63</v>
      </c>
      <c r="E6" s="358" t="s">
        <v>75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7" t="s">
        <v>72</v>
      </c>
      <c r="V6" s="357"/>
      <c r="W6" s="357"/>
      <c r="X6" s="357"/>
    </row>
    <row r="7" spans="1:24" s="17" customFormat="1" ht="66" customHeight="1">
      <c r="A7" s="361"/>
      <c r="B7" s="359"/>
      <c r="C7" s="336"/>
      <c r="D7" s="336"/>
      <c r="E7" s="56" t="s">
        <v>56</v>
      </c>
      <c r="F7" s="56" t="s">
        <v>85</v>
      </c>
      <c r="G7" s="56" t="s">
        <v>68</v>
      </c>
      <c r="H7" s="56" t="s">
        <v>69</v>
      </c>
      <c r="I7" s="101" t="s">
        <v>98</v>
      </c>
      <c r="J7" s="101" t="s">
        <v>32</v>
      </c>
      <c r="K7" s="101" t="s">
        <v>99</v>
      </c>
      <c r="L7" s="72" t="s">
        <v>39</v>
      </c>
      <c r="M7" s="257" t="s">
        <v>86</v>
      </c>
      <c r="N7" s="72" t="s">
        <v>98</v>
      </c>
      <c r="O7" s="101" t="s">
        <v>32</v>
      </c>
      <c r="P7" s="101" t="s">
        <v>99</v>
      </c>
      <c r="Q7" s="101" t="s">
        <v>39</v>
      </c>
      <c r="R7" s="280" t="s">
        <v>87</v>
      </c>
      <c r="S7" s="89" t="s">
        <v>54</v>
      </c>
      <c r="T7" s="89" t="s">
        <v>7</v>
      </c>
      <c r="U7" s="56" t="s">
        <v>51</v>
      </c>
      <c r="V7" s="56" t="s">
        <v>92</v>
      </c>
      <c r="W7" s="56" t="s">
        <v>58</v>
      </c>
      <c r="X7" s="56" t="s">
        <v>53</v>
      </c>
    </row>
    <row r="8" spans="1:24" ht="15.75">
      <c r="A8" s="113">
        <v>1</v>
      </c>
      <c r="B8" s="50" t="s">
        <v>11</v>
      </c>
      <c r="C8" s="64">
        <v>640</v>
      </c>
      <c r="D8" s="64"/>
      <c r="E8" s="240">
        <v>12</v>
      </c>
      <c r="F8" s="240">
        <v>0</v>
      </c>
      <c r="G8" s="240">
        <v>1</v>
      </c>
      <c r="H8" s="240">
        <v>13</v>
      </c>
      <c r="I8" s="214">
        <f>ROUND(C8/70+1,0)</f>
        <v>10</v>
      </c>
      <c r="J8" s="68"/>
      <c r="K8" s="128">
        <f>SUM(I8:J8)</f>
        <v>10</v>
      </c>
      <c r="L8" s="128">
        <f aca="true" t="shared" si="0" ref="L8:L21">E8-(I8+J8)</f>
        <v>2</v>
      </c>
      <c r="M8" s="241">
        <v>27</v>
      </c>
      <c r="N8" s="215">
        <f>I8*2+2</f>
        <v>22</v>
      </c>
      <c r="O8" s="68"/>
      <c r="P8" s="215">
        <f>N8+O8</f>
        <v>22</v>
      </c>
      <c r="Q8" s="75">
        <f aca="true" t="shared" si="1" ref="Q8:Q21">M8-(N8+O8)</f>
        <v>5</v>
      </c>
      <c r="R8" s="281"/>
      <c r="S8" s="90"/>
      <c r="T8" s="75">
        <f>R8-S8</f>
        <v>0</v>
      </c>
      <c r="U8" s="283"/>
      <c r="V8" s="283"/>
      <c r="W8" s="283"/>
      <c r="X8" s="283"/>
    </row>
    <row r="9" spans="1:24" ht="24">
      <c r="A9" s="113">
        <v>2</v>
      </c>
      <c r="B9" s="50" t="s">
        <v>134</v>
      </c>
      <c r="C9" s="64"/>
      <c r="D9" s="64"/>
      <c r="E9" s="240">
        <v>2</v>
      </c>
      <c r="F9" s="240"/>
      <c r="G9" s="240"/>
      <c r="H9" s="240"/>
      <c r="I9" s="215">
        <v>3</v>
      </c>
      <c r="J9" s="68"/>
      <c r="K9" s="86">
        <f aca="true" t="shared" si="2" ref="K9:K21">SUM(I9:J9)</f>
        <v>3</v>
      </c>
      <c r="L9" s="86">
        <f t="shared" si="0"/>
        <v>-1</v>
      </c>
      <c r="M9" s="241">
        <v>6</v>
      </c>
      <c r="N9" s="215">
        <v>6</v>
      </c>
      <c r="O9" s="68"/>
      <c r="P9" s="215">
        <f aca="true" t="shared" si="3" ref="P9:P21">N9+O9</f>
        <v>6</v>
      </c>
      <c r="Q9" s="75">
        <f t="shared" si="1"/>
        <v>0</v>
      </c>
      <c r="R9" s="281"/>
      <c r="S9" s="90"/>
      <c r="T9" s="75">
        <f aca="true" t="shared" si="4" ref="T9:T21">R9-S9</f>
        <v>0</v>
      </c>
      <c r="U9" s="283"/>
      <c r="V9" s="283"/>
      <c r="W9" s="283"/>
      <c r="X9" s="283"/>
    </row>
    <row r="10" spans="1:24" ht="15.75">
      <c r="A10" s="113">
        <v>3</v>
      </c>
      <c r="B10" s="50" t="s">
        <v>12</v>
      </c>
      <c r="C10" s="64"/>
      <c r="D10" s="64"/>
      <c r="E10" s="241">
        <v>0</v>
      </c>
      <c r="F10" s="241"/>
      <c r="G10" s="241"/>
      <c r="H10" s="241"/>
      <c r="I10" s="215"/>
      <c r="J10" s="68"/>
      <c r="K10" s="86">
        <f t="shared" si="2"/>
        <v>0</v>
      </c>
      <c r="L10" s="86">
        <f t="shared" si="0"/>
        <v>0</v>
      </c>
      <c r="M10" s="241"/>
      <c r="N10" s="215"/>
      <c r="O10" s="68"/>
      <c r="P10" s="215">
        <f t="shared" si="3"/>
        <v>0</v>
      </c>
      <c r="Q10" s="75">
        <f t="shared" si="1"/>
        <v>0</v>
      </c>
      <c r="R10" s="281"/>
      <c r="S10" s="90"/>
      <c r="T10" s="75">
        <f t="shared" si="4"/>
        <v>0</v>
      </c>
      <c r="U10" s="283"/>
      <c r="V10" s="283"/>
      <c r="W10" s="283"/>
      <c r="X10" s="283"/>
    </row>
    <row r="11" spans="1:24" ht="24">
      <c r="A11" s="113">
        <v>4</v>
      </c>
      <c r="B11" s="50" t="s">
        <v>13</v>
      </c>
      <c r="C11" s="64">
        <v>818143</v>
      </c>
      <c r="D11" s="64"/>
      <c r="E11" s="258">
        <v>0</v>
      </c>
      <c r="F11" s="243">
        <v>3</v>
      </c>
      <c r="G11" s="242">
        <v>0</v>
      </c>
      <c r="H11" s="243">
        <v>3</v>
      </c>
      <c r="I11" s="215">
        <f>ROUND(C11/120000,0)</f>
        <v>7</v>
      </c>
      <c r="J11" s="68"/>
      <c r="K11" s="128">
        <f t="shared" si="2"/>
        <v>7</v>
      </c>
      <c r="L11" s="128">
        <f>(E11+F11)-(I11+J11)</f>
        <v>-4</v>
      </c>
      <c r="M11" s="240">
        <v>30</v>
      </c>
      <c r="N11" s="216">
        <f>I11*6</f>
        <v>42</v>
      </c>
      <c r="O11" s="68"/>
      <c r="P11" s="215">
        <f t="shared" si="3"/>
        <v>42</v>
      </c>
      <c r="Q11" s="75">
        <f t="shared" si="1"/>
        <v>-12</v>
      </c>
      <c r="R11" s="281"/>
      <c r="S11" s="90"/>
      <c r="T11" s="75">
        <f t="shared" si="4"/>
        <v>0</v>
      </c>
      <c r="U11" s="283"/>
      <c r="V11" s="283"/>
      <c r="W11" s="283"/>
      <c r="X11" s="283"/>
    </row>
    <row r="12" spans="1:24" ht="15.75">
      <c r="A12" s="208">
        <v>5</v>
      </c>
      <c r="B12" s="209" t="s">
        <v>14</v>
      </c>
      <c r="C12" s="64">
        <v>640</v>
      </c>
      <c r="D12" s="64"/>
      <c r="E12" s="243">
        <v>3</v>
      </c>
      <c r="F12" s="242"/>
      <c r="G12" s="242"/>
      <c r="H12" s="242">
        <v>3</v>
      </c>
      <c r="I12" s="215">
        <f>ROUND(C12/300,0)</f>
        <v>2</v>
      </c>
      <c r="J12" s="68"/>
      <c r="K12" s="86">
        <f t="shared" si="2"/>
        <v>2</v>
      </c>
      <c r="L12" s="86">
        <f t="shared" si="0"/>
        <v>1</v>
      </c>
      <c r="M12" s="240"/>
      <c r="N12" s="215">
        <f>I12*2</f>
        <v>4</v>
      </c>
      <c r="O12" s="68"/>
      <c r="P12" s="215">
        <f t="shared" si="3"/>
        <v>4</v>
      </c>
      <c r="Q12" s="75">
        <f t="shared" si="1"/>
        <v>-4</v>
      </c>
      <c r="R12" s="281"/>
      <c r="S12" s="90"/>
      <c r="T12" s="75">
        <f t="shared" si="4"/>
        <v>0</v>
      </c>
      <c r="U12" s="283"/>
      <c r="V12" s="283"/>
      <c r="W12" s="283"/>
      <c r="X12" s="283"/>
    </row>
    <row r="13" spans="1:24" ht="24">
      <c r="A13" s="113">
        <v>6</v>
      </c>
      <c r="B13" s="50" t="s">
        <v>15</v>
      </c>
      <c r="C13" s="64">
        <v>640</v>
      </c>
      <c r="D13" s="64"/>
      <c r="E13" s="242">
        <v>7</v>
      </c>
      <c r="F13" s="240">
        <v>1</v>
      </c>
      <c r="G13" s="242">
        <v>1</v>
      </c>
      <c r="H13" s="242">
        <v>6</v>
      </c>
      <c r="I13" s="215">
        <f>ROUND(C13/150+2,0)</f>
        <v>6</v>
      </c>
      <c r="J13" s="68"/>
      <c r="K13" s="128">
        <f t="shared" si="2"/>
        <v>6</v>
      </c>
      <c r="L13" s="128">
        <f t="shared" si="0"/>
        <v>1</v>
      </c>
      <c r="M13" s="245">
        <v>9</v>
      </c>
      <c r="N13" s="215">
        <f>I13*2</f>
        <v>12</v>
      </c>
      <c r="O13" s="68"/>
      <c r="P13" s="215">
        <f t="shared" si="3"/>
        <v>12</v>
      </c>
      <c r="Q13" s="75">
        <f t="shared" si="1"/>
        <v>-3</v>
      </c>
      <c r="R13" s="281"/>
      <c r="S13" s="90"/>
      <c r="T13" s="75">
        <f t="shared" si="4"/>
        <v>0</v>
      </c>
      <c r="U13" s="283"/>
      <c r="V13" s="283"/>
      <c r="W13" s="283"/>
      <c r="X13" s="283"/>
    </row>
    <row r="14" spans="1:24" ht="15.75">
      <c r="A14" s="113">
        <v>7</v>
      </c>
      <c r="B14" s="50" t="s">
        <v>16</v>
      </c>
      <c r="C14" s="64">
        <v>271</v>
      </c>
      <c r="D14" s="64"/>
      <c r="E14" s="242">
        <v>21</v>
      </c>
      <c r="F14" s="242">
        <v>0</v>
      </c>
      <c r="G14" s="242">
        <v>5</v>
      </c>
      <c r="H14" s="242">
        <v>16</v>
      </c>
      <c r="I14" s="215">
        <f>ROUND(C14/16+3,0)</f>
        <v>20</v>
      </c>
      <c r="J14" s="68"/>
      <c r="K14" s="128">
        <f t="shared" si="2"/>
        <v>20</v>
      </c>
      <c r="L14" s="128">
        <f t="shared" si="0"/>
        <v>1</v>
      </c>
      <c r="M14" s="241">
        <v>18</v>
      </c>
      <c r="N14" s="215">
        <f>I14*2</f>
        <v>40</v>
      </c>
      <c r="O14" s="68"/>
      <c r="P14" s="215">
        <f t="shared" si="3"/>
        <v>40</v>
      </c>
      <c r="Q14" s="75">
        <f t="shared" si="1"/>
        <v>-22</v>
      </c>
      <c r="R14" s="281"/>
      <c r="S14" s="90"/>
      <c r="T14" s="75">
        <f t="shared" si="4"/>
        <v>0</v>
      </c>
      <c r="U14" s="283"/>
      <c r="V14" s="283"/>
      <c r="W14" s="283"/>
      <c r="X14" s="283"/>
    </row>
    <row r="15" spans="1:24" ht="15.75">
      <c r="A15" s="113">
        <v>8</v>
      </c>
      <c r="B15" s="50" t="s">
        <v>17</v>
      </c>
      <c r="C15" s="64">
        <v>640</v>
      </c>
      <c r="D15" s="64"/>
      <c r="E15" s="242">
        <v>6</v>
      </c>
      <c r="F15" s="242">
        <v>0</v>
      </c>
      <c r="G15" s="242">
        <v>2</v>
      </c>
      <c r="H15" s="242">
        <v>4</v>
      </c>
      <c r="I15" s="215">
        <f>ROUND(C15/200+5,0)</f>
        <v>8</v>
      </c>
      <c r="J15" s="68"/>
      <c r="K15" s="86">
        <f t="shared" si="2"/>
        <v>8</v>
      </c>
      <c r="L15" s="86">
        <f t="shared" si="0"/>
        <v>-2</v>
      </c>
      <c r="M15" s="241">
        <v>23</v>
      </c>
      <c r="N15" s="215">
        <f>I15*3</f>
        <v>24</v>
      </c>
      <c r="O15" s="68"/>
      <c r="P15" s="215">
        <f t="shared" si="3"/>
        <v>24</v>
      </c>
      <c r="Q15" s="75">
        <f t="shared" si="1"/>
        <v>-1</v>
      </c>
      <c r="R15" s="281"/>
      <c r="S15" s="90"/>
      <c r="T15" s="75">
        <f t="shared" si="4"/>
        <v>0</v>
      </c>
      <c r="U15" s="283"/>
      <c r="V15" s="283"/>
      <c r="W15" s="283"/>
      <c r="X15" s="283"/>
    </row>
    <row r="16" spans="1:24" ht="15.75">
      <c r="A16" s="113">
        <v>9</v>
      </c>
      <c r="B16" s="50" t="s">
        <v>18</v>
      </c>
      <c r="C16" s="64"/>
      <c r="D16" s="64"/>
      <c r="E16" s="242">
        <v>0</v>
      </c>
      <c r="F16" s="242"/>
      <c r="G16" s="242"/>
      <c r="H16" s="242"/>
      <c r="I16" s="215"/>
      <c r="J16" s="68"/>
      <c r="K16" s="86">
        <f t="shared" si="2"/>
        <v>0</v>
      </c>
      <c r="L16" s="86">
        <f t="shared" si="0"/>
        <v>0</v>
      </c>
      <c r="M16" s="241"/>
      <c r="N16" s="215"/>
      <c r="O16" s="68"/>
      <c r="P16" s="215">
        <f t="shared" si="3"/>
        <v>0</v>
      </c>
      <c r="Q16" s="75">
        <f t="shared" si="1"/>
        <v>0</v>
      </c>
      <c r="R16" s="281"/>
      <c r="S16" s="90"/>
      <c r="T16" s="75">
        <f t="shared" si="4"/>
        <v>0</v>
      </c>
      <c r="U16" s="283"/>
      <c r="V16" s="283"/>
      <c r="W16" s="283"/>
      <c r="X16" s="283"/>
    </row>
    <row r="17" spans="1:24" ht="24">
      <c r="A17" s="113">
        <v>10</v>
      </c>
      <c r="B17" s="50" t="s">
        <v>19</v>
      </c>
      <c r="C17" s="64">
        <v>640</v>
      </c>
      <c r="D17" s="64"/>
      <c r="E17" s="242">
        <v>7</v>
      </c>
      <c r="F17" s="242">
        <v>0</v>
      </c>
      <c r="G17" s="242">
        <v>0</v>
      </c>
      <c r="H17" s="242">
        <v>7</v>
      </c>
      <c r="I17" s="216">
        <f>ROUND(C17/150,0)</f>
        <v>4</v>
      </c>
      <c r="J17" s="68"/>
      <c r="K17" s="143">
        <f t="shared" si="2"/>
        <v>4</v>
      </c>
      <c r="L17" s="128">
        <f t="shared" si="0"/>
        <v>3</v>
      </c>
      <c r="M17" s="241">
        <v>20</v>
      </c>
      <c r="N17" s="216">
        <f>C17/150*5</f>
        <v>21.333333333333332</v>
      </c>
      <c r="O17" s="68"/>
      <c r="P17" s="215">
        <f t="shared" si="3"/>
        <v>21.333333333333332</v>
      </c>
      <c r="Q17" s="75">
        <f t="shared" si="1"/>
        <v>-1.3333333333333321</v>
      </c>
      <c r="R17" s="281"/>
      <c r="S17" s="90"/>
      <c r="T17" s="75">
        <f t="shared" si="4"/>
        <v>0</v>
      </c>
      <c r="U17" s="283"/>
      <c r="V17" s="283"/>
      <c r="W17" s="283"/>
      <c r="X17" s="283"/>
    </row>
    <row r="18" spans="1:24" ht="24">
      <c r="A18" s="208">
        <v>11</v>
      </c>
      <c r="B18" s="210" t="s">
        <v>20</v>
      </c>
      <c r="C18" s="64">
        <v>640</v>
      </c>
      <c r="D18" s="64"/>
      <c r="E18" s="242">
        <v>0</v>
      </c>
      <c r="F18" s="243">
        <v>3</v>
      </c>
      <c r="G18" s="242">
        <v>0</v>
      </c>
      <c r="H18" s="242">
        <v>0</v>
      </c>
      <c r="I18" s="142">
        <f>ROUND(C18/200,0)</f>
        <v>3</v>
      </c>
      <c r="J18" s="68"/>
      <c r="K18" s="86">
        <f t="shared" si="2"/>
        <v>3</v>
      </c>
      <c r="L18" s="86">
        <f>F18-(I18+J18)</f>
        <v>0</v>
      </c>
      <c r="M18" s="241">
        <v>4</v>
      </c>
      <c r="N18" s="215">
        <f>ROUND(C18/200,0)</f>
        <v>3</v>
      </c>
      <c r="O18" s="68"/>
      <c r="P18" s="215">
        <f t="shared" si="3"/>
        <v>3</v>
      </c>
      <c r="Q18" s="75">
        <f t="shared" si="1"/>
        <v>1</v>
      </c>
      <c r="R18" s="281"/>
      <c r="S18" s="90"/>
      <c r="T18" s="75">
        <f t="shared" si="4"/>
        <v>0</v>
      </c>
      <c r="U18" s="283"/>
      <c r="V18" s="283"/>
      <c r="W18" s="283"/>
      <c r="X18" s="283"/>
    </row>
    <row r="19" spans="1:24" ht="15.75">
      <c r="A19" s="113">
        <v>12</v>
      </c>
      <c r="B19" s="50" t="s">
        <v>59</v>
      </c>
      <c r="C19" s="64"/>
      <c r="D19" s="64"/>
      <c r="E19" s="242">
        <v>1</v>
      </c>
      <c r="F19" s="242"/>
      <c r="G19" s="242"/>
      <c r="H19" s="242"/>
      <c r="I19" s="215">
        <v>2</v>
      </c>
      <c r="J19" s="68"/>
      <c r="K19" s="86">
        <f t="shared" si="2"/>
        <v>2</v>
      </c>
      <c r="L19" s="86">
        <f t="shared" si="0"/>
        <v>-1</v>
      </c>
      <c r="M19" s="241"/>
      <c r="N19" s="215"/>
      <c r="O19" s="68"/>
      <c r="P19" s="215">
        <f t="shared" si="3"/>
        <v>0</v>
      </c>
      <c r="Q19" s="75">
        <f t="shared" si="1"/>
        <v>0</v>
      </c>
      <c r="R19" s="281"/>
      <c r="S19" s="90"/>
      <c r="T19" s="75">
        <f t="shared" si="4"/>
        <v>0</v>
      </c>
      <c r="U19" s="283"/>
      <c r="V19" s="283"/>
      <c r="W19" s="283"/>
      <c r="X19" s="283"/>
    </row>
    <row r="20" spans="1:24" ht="24.75">
      <c r="A20" s="113">
        <v>13</v>
      </c>
      <c r="B20" s="51" t="s">
        <v>21</v>
      </c>
      <c r="C20" s="64">
        <v>640</v>
      </c>
      <c r="D20" s="64"/>
      <c r="E20" s="242">
        <v>2</v>
      </c>
      <c r="F20" s="242">
        <v>0</v>
      </c>
      <c r="G20" s="242">
        <v>0</v>
      </c>
      <c r="H20" s="242">
        <v>2</v>
      </c>
      <c r="I20" s="215">
        <f>ROUND(C20/400,0)</f>
        <v>2</v>
      </c>
      <c r="J20" s="68"/>
      <c r="K20" s="86">
        <f t="shared" si="2"/>
        <v>2</v>
      </c>
      <c r="L20" s="86">
        <f t="shared" si="0"/>
        <v>0</v>
      </c>
      <c r="M20" s="246">
        <v>4</v>
      </c>
      <c r="N20" s="217">
        <f>ROUND(C20/400*3-2,0)</f>
        <v>3</v>
      </c>
      <c r="O20" s="68"/>
      <c r="P20" s="215">
        <f t="shared" si="3"/>
        <v>3</v>
      </c>
      <c r="Q20" s="75">
        <f t="shared" si="1"/>
        <v>1</v>
      </c>
      <c r="R20" s="281">
        <v>3</v>
      </c>
      <c r="S20" s="90">
        <v>2</v>
      </c>
      <c r="T20" s="75">
        <f t="shared" si="4"/>
        <v>1</v>
      </c>
      <c r="U20" s="283"/>
      <c r="V20" s="283"/>
      <c r="W20" s="283"/>
      <c r="X20" s="283"/>
    </row>
    <row r="21" spans="1:24" ht="24.75">
      <c r="A21" s="113">
        <v>14</v>
      </c>
      <c r="B21" s="51" t="s">
        <v>22</v>
      </c>
      <c r="C21" s="64">
        <v>640</v>
      </c>
      <c r="D21" s="64"/>
      <c r="E21" s="242"/>
      <c r="F21" s="242"/>
      <c r="G21" s="242"/>
      <c r="H21" s="242"/>
      <c r="I21" s="215"/>
      <c r="J21" s="68"/>
      <c r="K21" s="86">
        <f t="shared" si="2"/>
        <v>0</v>
      </c>
      <c r="L21" s="86">
        <f t="shared" si="0"/>
        <v>0</v>
      </c>
      <c r="M21" s="246">
        <v>1</v>
      </c>
      <c r="N21" s="215">
        <f>ROUND(C21/300,0)</f>
        <v>2</v>
      </c>
      <c r="O21" s="68"/>
      <c r="P21" s="215">
        <f t="shared" si="3"/>
        <v>2</v>
      </c>
      <c r="Q21" s="75">
        <f t="shared" si="1"/>
        <v>-1</v>
      </c>
      <c r="R21" s="281"/>
      <c r="S21" s="90"/>
      <c r="T21" s="75">
        <f t="shared" si="4"/>
        <v>0</v>
      </c>
      <c r="U21" s="283"/>
      <c r="V21" s="283"/>
      <c r="W21" s="283"/>
      <c r="X21" s="283"/>
    </row>
    <row r="22" spans="1:24" ht="20.25" customHeight="1">
      <c r="A22" s="114">
        <v>15</v>
      </c>
      <c r="B22" s="115" t="s">
        <v>40</v>
      </c>
      <c r="C22" s="116"/>
      <c r="D22" s="116"/>
      <c r="E22" s="244">
        <f aca="true" t="shared" si="5" ref="E22:X22">SUM(E8:E21)</f>
        <v>61</v>
      </c>
      <c r="F22" s="244">
        <f t="shared" si="5"/>
        <v>7</v>
      </c>
      <c r="G22" s="244">
        <f t="shared" si="5"/>
        <v>9</v>
      </c>
      <c r="H22" s="244">
        <f t="shared" si="5"/>
        <v>54</v>
      </c>
      <c r="I22" s="144">
        <f t="shared" si="5"/>
        <v>67</v>
      </c>
      <c r="J22" s="116">
        <f t="shared" si="5"/>
        <v>0</v>
      </c>
      <c r="K22" s="144">
        <f t="shared" si="5"/>
        <v>67</v>
      </c>
      <c r="L22" s="144">
        <f t="shared" si="5"/>
        <v>0</v>
      </c>
      <c r="M22" s="244">
        <f t="shared" si="5"/>
        <v>142</v>
      </c>
      <c r="N22" s="144">
        <f>SUM(N8:N21)</f>
        <v>179.33333333333334</v>
      </c>
      <c r="O22" s="116">
        <f t="shared" si="5"/>
        <v>0</v>
      </c>
      <c r="P22" s="144">
        <f>SUM(P8:P21)</f>
        <v>179.33333333333334</v>
      </c>
      <c r="Q22" s="117">
        <f>SUM(Q8:Q21)</f>
        <v>-37.33333333333333</v>
      </c>
      <c r="R22" s="248">
        <f t="shared" si="5"/>
        <v>3</v>
      </c>
      <c r="S22" s="61">
        <f t="shared" si="5"/>
        <v>2</v>
      </c>
      <c r="T22" s="117">
        <f t="shared" si="5"/>
        <v>1</v>
      </c>
      <c r="U22" s="247">
        <f t="shared" si="5"/>
        <v>0</v>
      </c>
      <c r="V22" s="247">
        <f t="shared" si="5"/>
        <v>0</v>
      </c>
      <c r="W22" s="247">
        <f t="shared" si="5"/>
        <v>0</v>
      </c>
      <c r="X22" s="247">
        <f t="shared" si="5"/>
        <v>0</v>
      </c>
    </row>
    <row r="23" spans="2:24" s="223" customFormat="1" ht="15.75" customHeight="1">
      <c r="B23" s="231" t="s">
        <v>60</v>
      </c>
      <c r="C23" s="232"/>
      <c r="D23" s="232"/>
      <c r="E23" s="255"/>
      <c r="F23" s="255"/>
      <c r="G23" s="255"/>
      <c r="H23" s="255"/>
      <c r="I23" s="232"/>
      <c r="J23" s="232"/>
      <c r="K23" s="232"/>
      <c r="L23" s="232"/>
      <c r="M23" s="255"/>
      <c r="N23" s="232"/>
      <c r="O23" s="232"/>
      <c r="P23" s="232"/>
      <c r="Q23" s="232"/>
      <c r="R23" s="282"/>
      <c r="S23" s="233"/>
      <c r="T23" s="233"/>
      <c r="U23" s="282"/>
      <c r="V23" s="282"/>
      <c r="W23" s="282"/>
      <c r="X23" s="282"/>
    </row>
    <row r="24" spans="2:24" s="223" customFormat="1" ht="15.75">
      <c r="B24" s="234"/>
      <c r="C24" s="224"/>
      <c r="D24" s="224"/>
      <c r="E24" s="256"/>
      <c r="F24" s="256"/>
      <c r="G24" s="256"/>
      <c r="H24" s="256"/>
      <c r="I24" s="224"/>
      <c r="J24" s="225"/>
      <c r="K24" s="225"/>
      <c r="M24" s="256"/>
      <c r="R24" s="9"/>
      <c r="U24" s="9"/>
      <c r="V24" s="9"/>
      <c r="W24" s="9"/>
      <c r="X24" s="9"/>
    </row>
  </sheetData>
  <sheetProtection/>
  <mergeCells count="6">
    <mergeCell ref="U6:X6"/>
    <mergeCell ref="E6:T6"/>
    <mergeCell ref="B6:B7"/>
    <mergeCell ref="C6:C7"/>
    <mergeCell ref="D6:D7"/>
    <mergeCell ref="A6:A7"/>
  </mergeCells>
  <printOptions/>
  <pageMargins left="0.2362204724409449" right="0.1968503937007874" top="0.35433070866141736" bottom="0.35433070866141736" header="0.31496062992125984" footer="0.31496062992125984"/>
  <pageSetup horizontalDpi="600" verticalDpi="600" orientation="landscape" paperSize="9" scale="95" r:id="rId3"/>
  <headerFooter alignWithMargins="0">
    <oddFooter>&amp;R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I5" sqref="I5"/>
    </sheetView>
  </sheetViews>
  <sheetFormatPr defaultColWidth="9.00390625" defaultRowHeight="12.75"/>
  <cols>
    <col min="1" max="1" width="28.00390625" style="5" customWidth="1"/>
    <col min="2" max="2" width="15.00390625" style="5" customWidth="1"/>
    <col min="3" max="3" width="11.75390625" style="5" customWidth="1"/>
    <col min="4" max="4" width="8.125" style="5" customWidth="1"/>
    <col min="5" max="5" width="13.125" style="5" customWidth="1"/>
    <col min="6" max="6" width="10.00390625" style="5" customWidth="1"/>
    <col min="7" max="7" width="8.00390625" style="5" customWidth="1"/>
    <col min="8" max="8" width="14.25390625" style="5" customWidth="1"/>
    <col min="9" max="9" width="11.375" style="5" customWidth="1"/>
    <col min="10" max="16384" width="9.125" style="5" customWidth="1"/>
  </cols>
  <sheetData>
    <row r="1" spans="1:7" ht="12.75">
      <c r="A1" s="47"/>
      <c r="B1" s="48" t="s">
        <v>64</v>
      </c>
      <c r="C1" s="62" t="str">
        <f>'[1]Kadar.ode.'!C1</f>
        <v>КЛИНИЧКО БОЛНИЧКИ ЦЕНТАР ЗЕМУН-БЕОГРАД</v>
      </c>
      <c r="D1" s="43"/>
      <c r="E1" s="43"/>
      <c r="F1" s="43"/>
      <c r="G1" s="45"/>
    </row>
    <row r="2" spans="1:7" ht="12.75">
      <c r="A2" s="47"/>
      <c r="B2" s="48" t="s">
        <v>65</v>
      </c>
      <c r="C2" s="62" t="str">
        <f>'[1]Kadar.ode.'!C2</f>
        <v>07030100</v>
      </c>
      <c r="D2" s="43"/>
      <c r="E2" s="43"/>
      <c r="F2" s="43"/>
      <c r="G2" s="45"/>
    </row>
    <row r="3" spans="1:7" ht="12.75">
      <c r="A3" s="47"/>
      <c r="B3" s="48" t="s">
        <v>67</v>
      </c>
      <c r="C3" s="219" t="str">
        <f>'Kadar.ode.'!D3</f>
        <v>31.12.2017.</v>
      </c>
      <c r="D3" s="220"/>
      <c r="E3" s="43"/>
      <c r="F3" s="43"/>
      <c r="G3" s="45"/>
    </row>
    <row r="4" spans="1:7" ht="14.25">
      <c r="A4" s="47"/>
      <c r="B4" s="48" t="s">
        <v>66</v>
      </c>
      <c r="C4" s="42" t="s">
        <v>97</v>
      </c>
      <c r="D4" s="44"/>
      <c r="E4" s="44"/>
      <c r="F4" s="44"/>
      <c r="G4" s="46"/>
    </row>
    <row r="5" spans="1:4" ht="12" customHeight="1">
      <c r="A5" s="28"/>
      <c r="B5" s="1"/>
      <c r="C5" s="27"/>
      <c r="D5" s="14"/>
    </row>
    <row r="6" spans="1:6" ht="21.75" customHeight="1">
      <c r="A6" s="362" t="s">
        <v>10</v>
      </c>
      <c r="B6" s="362"/>
      <c r="C6" s="35"/>
      <c r="D6" s="35"/>
      <c r="E6" s="35"/>
      <c r="F6" s="35"/>
    </row>
    <row r="7" spans="1:6" ht="12.75">
      <c r="A7" s="37" t="s">
        <v>61</v>
      </c>
      <c r="B7" s="59">
        <v>640</v>
      </c>
      <c r="C7" s="35"/>
      <c r="D7" s="35"/>
      <c r="E7" s="35"/>
      <c r="F7" s="35"/>
    </row>
    <row r="8" spans="1:6" ht="12.75">
      <c r="A8" s="37" t="s">
        <v>62</v>
      </c>
      <c r="B8" s="59"/>
      <c r="C8" s="35"/>
      <c r="D8" s="35"/>
      <c r="E8" s="35"/>
      <c r="F8" s="35"/>
    </row>
    <row r="9" spans="1:6" ht="12.75">
      <c r="A9" s="37" t="s">
        <v>40</v>
      </c>
      <c r="B9" s="59">
        <v>640</v>
      </c>
      <c r="C9" s="35"/>
      <c r="D9" s="35"/>
      <c r="E9" s="35"/>
      <c r="F9" s="35"/>
    </row>
    <row r="10" spans="1:9" ht="12.75">
      <c r="A10" s="35"/>
      <c r="B10" s="35"/>
      <c r="C10" s="35"/>
      <c r="D10" s="35"/>
      <c r="E10" s="35"/>
      <c r="F10" s="35"/>
      <c r="G10" s="35"/>
      <c r="H10" s="35"/>
      <c r="I10" s="36"/>
    </row>
    <row r="11" spans="1:9" ht="57.75" customHeight="1">
      <c r="A11" s="356" t="s">
        <v>23</v>
      </c>
      <c r="B11" s="363" t="s">
        <v>75</v>
      </c>
      <c r="C11" s="363"/>
      <c r="D11" s="363"/>
      <c r="E11" s="363"/>
      <c r="F11" s="363"/>
      <c r="G11" s="363"/>
      <c r="H11" s="364" t="s">
        <v>72</v>
      </c>
      <c r="I11" s="364"/>
    </row>
    <row r="12" spans="1:9" ht="54.75" customHeight="1">
      <c r="A12" s="356"/>
      <c r="B12" s="235" t="s">
        <v>88</v>
      </c>
      <c r="C12" s="91" t="s">
        <v>26</v>
      </c>
      <c r="D12" s="91" t="s">
        <v>7</v>
      </c>
      <c r="E12" s="235" t="s">
        <v>89</v>
      </c>
      <c r="F12" s="91" t="s">
        <v>26</v>
      </c>
      <c r="G12" s="91" t="s">
        <v>7</v>
      </c>
      <c r="H12" s="235" t="s">
        <v>24</v>
      </c>
      <c r="I12" s="235" t="s">
        <v>27</v>
      </c>
    </row>
    <row r="13" spans="1:9" ht="12.75">
      <c r="A13" s="52" t="s">
        <v>28</v>
      </c>
      <c r="B13" s="236"/>
      <c r="C13" s="92">
        <v>2</v>
      </c>
      <c r="D13" s="93">
        <f aca="true" t="shared" si="0" ref="D13:D23">B13-C13</f>
        <v>-2</v>
      </c>
      <c r="E13" s="238">
        <v>3</v>
      </c>
      <c r="F13" s="95">
        <v>3</v>
      </c>
      <c r="G13" s="93">
        <f aca="true" t="shared" si="1" ref="G13:G23">E13-F13</f>
        <v>0</v>
      </c>
      <c r="H13" s="238"/>
      <c r="I13" s="239"/>
    </row>
    <row r="14" spans="1:9" ht="12.75">
      <c r="A14" s="52" t="s">
        <v>25</v>
      </c>
      <c r="B14" s="236"/>
      <c r="C14" s="92"/>
      <c r="D14" s="93">
        <f t="shared" si="0"/>
        <v>0</v>
      </c>
      <c r="E14" s="238">
        <v>7</v>
      </c>
      <c r="F14" s="95"/>
      <c r="G14" s="93">
        <f t="shared" si="1"/>
        <v>7</v>
      </c>
      <c r="H14" s="238"/>
      <c r="I14" s="239"/>
    </row>
    <row r="15" spans="1:9" ht="12.75">
      <c r="A15" s="52" t="s">
        <v>128</v>
      </c>
      <c r="B15" s="236">
        <v>23</v>
      </c>
      <c r="C15" s="92">
        <v>45</v>
      </c>
      <c r="D15" s="93"/>
      <c r="E15" s="238"/>
      <c r="F15" s="95"/>
      <c r="G15" s="93">
        <f t="shared" si="1"/>
        <v>0</v>
      </c>
      <c r="H15" s="238"/>
      <c r="I15" s="239"/>
    </row>
    <row r="16" spans="1:9" ht="12.75">
      <c r="A16" s="52" t="s">
        <v>129</v>
      </c>
      <c r="B16" s="236">
        <v>26</v>
      </c>
      <c r="C16" s="92"/>
      <c r="D16" s="93">
        <f t="shared" si="0"/>
        <v>26</v>
      </c>
      <c r="E16" s="238"/>
      <c r="F16" s="95"/>
      <c r="G16" s="93">
        <f t="shared" si="1"/>
        <v>0</v>
      </c>
      <c r="H16" s="238"/>
      <c r="I16" s="239"/>
    </row>
    <row r="17" spans="1:9" ht="12.75">
      <c r="A17" s="52" t="s">
        <v>130</v>
      </c>
      <c r="B17" s="236"/>
      <c r="C17" s="92"/>
      <c r="D17" s="93">
        <f t="shared" si="0"/>
        <v>0</v>
      </c>
      <c r="E17" s="238">
        <v>136</v>
      </c>
      <c r="F17" s="95">
        <v>205</v>
      </c>
      <c r="G17" s="93">
        <f t="shared" si="1"/>
        <v>-69</v>
      </c>
      <c r="H17" s="238"/>
      <c r="I17" s="239"/>
    </row>
    <row r="18" spans="1:9" ht="12.75">
      <c r="A18" s="52" t="s">
        <v>131</v>
      </c>
      <c r="B18" s="236"/>
      <c r="C18" s="92">
        <v>3</v>
      </c>
      <c r="D18" s="93">
        <f t="shared" si="0"/>
        <v>-3</v>
      </c>
      <c r="E18" s="238"/>
      <c r="F18" s="95">
        <v>14</v>
      </c>
      <c r="G18" s="93">
        <f t="shared" si="1"/>
        <v>-14</v>
      </c>
      <c r="H18" s="238"/>
      <c r="I18" s="239"/>
    </row>
    <row r="19" spans="1:9" ht="12.75">
      <c r="A19" s="52"/>
      <c r="B19" s="236"/>
      <c r="C19" s="92"/>
      <c r="D19" s="93">
        <f t="shared" si="0"/>
        <v>0</v>
      </c>
      <c r="E19" s="238"/>
      <c r="F19" s="95"/>
      <c r="G19" s="93">
        <f t="shared" si="1"/>
        <v>0</v>
      </c>
      <c r="H19" s="238"/>
      <c r="I19" s="239"/>
    </row>
    <row r="20" spans="1:9" ht="12.75">
      <c r="A20" s="52"/>
      <c r="B20" s="236"/>
      <c r="C20" s="92"/>
      <c r="D20" s="93">
        <f t="shared" si="0"/>
        <v>0</v>
      </c>
      <c r="E20" s="238"/>
      <c r="F20" s="95"/>
      <c r="G20" s="93">
        <f t="shared" si="1"/>
        <v>0</v>
      </c>
      <c r="H20" s="238"/>
      <c r="I20" s="239"/>
    </row>
    <row r="21" spans="1:9" s="18" customFormat="1" ht="12.75">
      <c r="A21" s="53"/>
      <c r="B21" s="236"/>
      <c r="C21" s="92"/>
      <c r="D21" s="93">
        <f t="shared" si="0"/>
        <v>0</v>
      </c>
      <c r="E21" s="238"/>
      <c r="F21" s="95"/>
      <c r="G21" s="93">
        <f t="shared" si="1"/>
        <v>0</v>
      </c>
      <c r="H21" s="238"/>
      <c r="I21" s="239"/>
    </row>
    <row r="22" spans="1:9" s="18" customFormat="1" ht="12.75">
      <c r="A22" s="53"/>
      <c r="B22" s="236"/>
      <c r="C22" s="92"/>
      <c r="D22" s="93">
        <f t="shared" si="0"/>
        <v>0</v>
      </c>
      <c r="E22" s="238"/>
      <c r="F22" s="95"/>
      <c r="G22" s="93">
        <f t="shared" si="1"/>
        <v>0</v>
      </c>
      <c r="H22" s="238"/>
      <c r="I22" s="239"/>
    </row>
    <row r="23" spans="1:9" s="18" customFormat="1" ht="12.75">
      <c r="A23" s="54" t="s">
        <v>0</v>
      </c>
      <c r="B23" s="237">
        <f>SUM(B13:B22)</f>
        <v>49</v>
      </c>
      <c r="C23" s="94">
        <f>SUM(C13:C22)</f>
        <v>50</v>
      </c>
      <c r="D23" s="94">
        <f t="shared" si="0"/>
        <v>-1</v>
      </c>
      <c r="E23" s="237">
        <f>SUM(E13:E22)</f>
        <v>146</v>
      </c>
      <c r="F23" s="94">
        <f>SUM(F13:F22)</f>
        <v>222</v>
      </c>
      <c r="G23" s="94">
        <f t="shared" si="1"/>
        <v>-76</v>
      </c>
      <c r="H23" s="237">
        <f>SUM(H13:H22)</f>
        <v>0</v>
      </c>
      <c r="I23" s="237">
        <f>SUM(I13:I22)</f>
        <v>0</v>
      </c>
    </row>
  </sheetData>
  <sheetProtection/>
  <mergeCells count="4">
    <mergeCell ref="A6:B6"/>
    <mergeCell ref="A11:A12"/>
    <mergeCell ref="B11:G11"/>
    <mergeCell ref="H11:I1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19"/>
  <sheetViews>
    <sheetView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46.625" style="0" customWidth="1"/>
    <col min="2" max="2" width="2.375" style="0" customWidth="1"/>
    <col min="3" max="3" width="20.00390625" style="0" customWidth="1"/>
    <col min="4" max="4" width="10.00390625" style="0" customWidth="1"/>
    <col min="5" max="5" width="9.375" style="0" customWidth="1"/>
    <col min="6" max="6" width="14.125" style="0" customWidth="1"/>
    <col min="7" max="7" width="12.375" style="0" customWidth="1"/>
    <col min="8" max="8" width="14.625" style="0" customWidth="1"/>
    <col min="9" max="9" width="14.75390625" style="0" customWidth="1"/>
  </cols>
  <sheetData>
    <row r="1" spans="1:23" ht="12.75">
      <c r="A1" s="47"/>
      <c r="B1" s="48" t="s">
        <v>64</v>
      </c>
      <c r="C1" s="62" t="str">
        <f>'[1]Kadar.ode.'!C1</f>
        <v>КЛИНИЧКО БОЛНИЧКИ ЦЕНТАР ЗЕМУН-БЕОГРАД</v>
      </c>
      <c r="D1" s="43"/>
      <c r="E1" s="43"/>
      <c r="F1" s="43"/>
      <c r="G1" s="45"/>
      <c r="H1" s="57"/>
      <c r="I1" s="10"/>
      <c r="J1" s="19"/>
      <c r="K1" s="19"/>
      <c r="L1" s="19"/>
      <c r="M1" s="19"/>
      <c r="N1" s="19"/>
      <c r="O1" s="19"/>
      <c r="P1" s="19"/>
      <c r="Q1" s="19"/>
      <c r="R1" s="20"/>
      <c r="S1" s="20"/>
      <c r="T1" s="20"/>
      <c r="U1" s="20"/>
      <c r="V1" s="20"/>
      <c r="W1" s="20"/>
    </row>
    <row r="2" spans="1:19" ht="12.75">
      <c r="A2" s="47"/>
      <c r="B2" s="48" t="s">
        <v>65</v>
      </c>
      <c r="C2" s="62" t="str">
        <f>'[1]Kadar.ode.'!C2</f>
        <v>07030100</v>
      </c>
      <c r="D2" s="43"/>
      <c r="E2" s="43"/>
      <c r="F2" s="43"/>
      <c r="G2" s="45"/>
      <c r="H2" s="57"/>
      <c r="I2" s="19"/>
      <c r="J2" s="19"/>
      <c r="K2" s="19"/>
      <c r="L2" s="19"/>
      <c r="M2" s="19"/>
      <c r="N2" s="20"/>
      <c r="O2" s="20"/>
      <c r="P2" s="20"/>
      <c r="Q2" s="20"/>
      <c r="R2" s="20"/>
      <c r="S2" s="20"/>
    </row>
    <row r="3" spans="1:23" ht="12.75">
      <c r="A3" s="47"/>
      <c r="B3" s="48" t="s">
        <v>67</v>
      </c>
      <c r="C3" s="219" t="str">
        <f>'Kadar.ode.'!D3</f>
        <v>31.12.2017.</v>
      </c>
      <c r="D3" s="43"/>
      <c r="E3" s="43"/>
      <c r="F3" s="43"/>
      <c r="G3" s="45"/>
      <c r="H3" s="57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20"/>
      <c r="V3" s="20"/>
      <c r="W3" s="20"/>
    </row>
    <row r="4" spans="1:23" ht="14.25">
      <c r="A4" s="47"/>
      <c r="B4" s="48" t="s">
        <v>66</v>
      </c>
      <c r="C4" s="42" t="s">
        <v>90</v>
      </c>
      <c r="D4" s="44"/>
      <c r="E4" s="44"/>
      <c r="F4" s="44"/>
      <c r="G4" s="46"/>
      <c r="H4" s="58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3:23" ht="12.75">
      <c r="C5" s="21"/>
      <c r="D5" s="21"/>
      <c r="E5" s="21"/>
      <c r="F5" s="21"/>
      <c r="G5" s="22"/>
      <c r="H5" s="22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23" customHeight="1" thickBot="1">
      <c r="A6" s="23"/>
      <c r="B6" s="23"/>
      <c r="C6" s="24" t="s">
        <v>75</v>
      </c>
      <c r="D6" s="96" t="s">
        <v>26</v>
      </c>
      <c r="E6" s="96" t="s">
        <v>39</v>
      </c>
      <c r="F6" s="24" t="s">
        <v>72</v>
      </c>
      <c r="G6" s="24" t="s">
        <v>91</v>
      </c>
      <c r="H6" s="24" t="s">
        <v>100</v>
      </c>
      <c r="I6" s="24" t="s">
        <v>101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6" customHeight="1" thickBot="1" thickTop="1">
      <c r="A7" s="23"/>
      <c r="B7" s="23"/>
      <c r="C7" s="23"/>
      <c r="D7" s="97"/>
      <c r="E7" s="97"/>
      <c r="F7" s="23"/>
      <c r="G7" s="23"/>
      <c r="H7" s="23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6.5" thickBot="1" thickTop="1">
      <c r="A8" s="23" t="s">
        <v>33</v>
      </c>
      <c r="B8" s="23"/>
      <c r="C8" s="100">
        <f>SUM('Kadar.ode.'!J39,'Kadar.dne.bol.dij.'!E18,'Kadar.zaj.med.del.'!E22)</f>
        <v>261</v>
      </c>
      <c r="D8" s="287">
        <f>'Kadar.ode.'!Q39+'Kadar.dne.bol.dij.'!H18+'Kadar.zaj.med.del.'!K22-'Kadar.zaj.med.del.'!K11-'Kadar.zaj.med.del.'!K18+2</f>
        <v>279</v>
      </c>
      <c r="E8" s="284">
        <f aca="true" t="shared" si="0" ref="E8:E13">C8-D8</f>
        <v>-18</v>
      </c>
      <c r="F8" s="23">
        <f>SUM('Kadar.ode.'!AE39,'Kadar.dne.bol.dij.'!P18,'Kadar.zaj.med.del.'!U22)</f>
        <v>0</v>
      </c>
      <c r="G8" s="23">
        <f aca="true" t="shared" si="1" ref="G8:G13">SUM(C8,F8)</f>
        <v>261</v>
      </c>
      <c r="H8" s="131">
        <v>2</v>
      </c>
      <c r="I8" s="132">
        <v>0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6.5" thickBot="1" thickTop="1">
      <c r="A9" s="23" t="s">
        <v>34</v>
      </c>
      <c r="B9" s="23"/>
      <c r="C9" s="23">
        <f>SUM('Kadar.zaj.med.del.'!F22)</f>
        <v>7</v>
      </c>
      <c r="D9" s="287">
        <f>'Kadar.zaj.med.del.'!K11+'Kadar.zaj.med.del.'!K18-2</f>
        <v>8</v>
      </c>
      <c r="E9" s="284">
        <f t="shared" si="0"/>
        <v>-1</v>
      </c>
      <c r="F9" s="23">
        <f>SUM('Kadar.zaj.med.del.'!V22)</f>
        <v>0</v>
      </c>
      <c r="G9" s="23">
        <f t="shared" si="1"/>
        <v>7</v>
      </c>
      <c r="H9" s="131">
        <v>0</v>
      </c>
      <c r="I9" s="131">
        <v>0</v>
      </c>
      <c r="J9" s="21"/>
      <c r="K9" s="286"/>
      <c r="L9" s="286"/>
      <c r="M9" s="286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9" ht="16.5" thickBot="1" thickTop="1">
      <c r="A10" s="23" t="s">
        <v>35</v>
      </c>
      <c r="B10" s="23"/>
      <c r="C10" s="100">
        <f>SUM('Kadar.ode.'!S39,'Kadar.dne.bol.dij.'!J18,'Kadar.zaj.med.del.'!M22)</f>
        <v>689</v>
      </c>
      <c r="D10" s="284">
        <f>SUM('Kadar.ode.'!Y39,'Kadar.dne.bol.dij.'!K18,'Kadar.zaj.med.del.'!P22)</f>
        <v>870.3333333333334</v>
      </c>
      <c r="E10" s="284">
        <f t="shared" si="0"/>
        <v>-181.33333333333337</v>
      </c>
      <c r="F10" s="23">
        <f>SUM('Kadar.ode.'!AF39,'Kadar.dne.bol.dij.'!Q18,'Kadar.zaj.med.del.'!W22)</f>
        <v>0</v>
      </c>
      <c r="G10" s="23">
        <f t="shared" si="1"/>
        <v>689</v>
      </c>
      <c r="H10" s="131">
        <v>70</v>
      </c>
      <c r="I10" s="131">
        <v>4</v>
      </c>
    </row>
    <row r="11" spans="1:11" ht="16.5" thickBot="1" thickTop="1">
      <c r="A11" s="23" t="s">
        <v>36</v>
      </c>
      <c r="B11" s="23"/>
      <c r="C11" s="100">
        <f>SUM('Kadar.ode.'!AA39,'Kadar.dne.bol.dij.'!M18,'Kadar.zaj.med.del.'!R22)</f>
        <v>5</v>
      </c>
      <c r="D11" s="284">
        <f>SUM('Kadar.ode.'!AB39,'Kadar.ode.'!AC39,'Kadar.dne.bol.dij.'!N18,'Kadar.zaj.med.del.'!S22)</f>
        <v>5.1125</v>
      </c>
      <c r="E11" s="284">
        <f t="shared" si="0"/>
        <v>-0.11249999999999982</v>
      </c>
      <c r="F11" s="100">
        <f>SUM('Kadar.ode.'!AG39,'Kadar.dne.bol.dij.'!R18,'Kadar.zaj.med.del.'!X22)</f>
        <v>0</v>
      </c>
      <c r="G11" s="100">
        <f t="shared" si="1"/>
        <v>5</v>
      </c>
      <c r="H11" s="131">
        <v>0</v>
      </c>
      <c r="I11" s="131">
        <v>0</v>
      </c>
      <c r="K11" s="218"/>
    </row>
    <row r="12" spans="1:9" ht="16.5" thickBot="1" thickTop="1">
      <c r="A12" s="23" t="s">
        <v>37</v>
      </c>
      <c r="B12" s="23"/>
      <c r="C12" s="23">
        <f>SUM('Kadar.nem.'!B23)</f>
        <v>49</v>
      </c>
      <c r="D12" s="284">
        <f>SUM('Kadar.nem.'!C23)</f>
        <v>50</v>
      </c>
      <c r="E12" s="284">
        <f t="shared" si="0"/>
        <v>-1</v>
      </c>
      <c r="F12" s="100">
        <f>SUM('Kadar.nem.'!H23)</f>
        <v>0</v>
      </c>
      <c r="G12" s="100">
        <f t="shared" si="1"/>
        <v>49</v>
      </c>
      <c r="H12" s="131">
        <v>1</v>
      </c>
      <c r="I12" s="131">
        <v>2</v>
      </c>
    </row>
    <row r="13" spans="1:9" ht="16.5" thickBot="1" thickTop="1">
      <c r="A13" s="23" t="s">
        <v>38</v>
      </c>
      <c r="B13" s="23"/>
      <c r="C13" s="23">
        <f>SUM('Kadar.nem.'!E23)</f>
        <v>146</v>
      </c>
      <c r="D13" s="284">
        <f>SUM('Kadar.nem.'!F23)</f>
        <v>222</v>
      </c>
      <c r="E13" s="284">
        <f t="shared" si="0"/>
        <v>-76</v>
      </c>
      <c r="F13" s="100">
        <f>SUM('Kadar.nem.'!I23)</f>
        <v>0</v>
      </c>
      <c r="G13" s="100">
        <f t="shared" si="1"/>
        <v>146</v>
      </c>
      <c r="H13" s="131">
        <v>6</v>
      </c>
      <c r="I13" s="131">
        <v>11</v>
      </c>
    </row>
    <row r="14" spans="1:9" ht="16.5" thickBot="1" thickTop="1">
      <c r="A14" s="23" t="s">
        <v>0</v>
      </c>
      <c r="B14" s="23"/>
      <c r="C14" s="100">
        <f aca="true" t="shared" si="2" ref="C14:I14">SUM(C8:C13)</f>
        <v>1157</v>
      </c>
      <c r="D14" s="284">
        <f t="shared" si="2"/>
        <v>1434.4458333333334</v>
      </c>
      <c r="E14" s="284">
        <f t="shared" si="2"/>
        <v>-277.4458333333334</v>
      </c>
      <c r="F14" s="100">
        <f t="shared" si="2"/>
        <v>0</v>
      </c>
      <c r="G14" s="100">
        <f t="shared" si="2"/>
        <v>1157</v>
      </c>
      <c r="H14" s="23">
        <f t="shared" si="2"/>
        <v>79</v>
      </c>
      <c r="I14" s="23">
        <f t="shared" si="2"/>
        <v>17</v>
      </c>
    </row>
    <row r="15" ht="13.5" thickTop="1">
      <c r="K15" s="218"/>
    </row>
    <row r="16" spans="1:9" ht="32.25" customHeight="1">
      <c r="A16" s="365" t="s">
        <v>140</v>
      </c>
      <c r="B16" s="366"/>
      <c r="C16" s="366"/>
      <c r="D16" s="366"/>
      <c r="E16" s="366"/>
      <c r="F16" s="366"/>
      <c r="G16" s="366"/>
      <c r="H16" s="366"/>
      <c r="I16" s="366"/>
    </row>
    <row r="17" spans="1:9" ht="21.75" customHeight="1">
      <c r="A17" s="365" t="s">
        <v>143</v>
      </c>
      <c r="B17" s="367"/>
      <c r="C17" s="367"/>
      <c r="D17" s="367"/>
      <c r="E17" s="367"/>
      <c r="F17" s="367"/>
      <c r="G17" s="367"/>
      <c r="H17" s="367"/>
      <c r="I17" s="367"/>
    </row>
    <row r="18" spans="1:9" ht="21.75" customHeight="1">
      <c r="A18" s="365" t="s">
        <v>141</v>
      </c>
      <c r="B18" s="367"/>
      <c r="C18" s="367"/>
      <c r="D18" s="367"/>
      <c r="E18" s="367"/>
      <c r="F18" s="367"/>
      <c r="G18" s="367"/>
      <c r="H18" s="367"/>
      <c r="I18" s="367"/>
    </row>
    <row r="19" spans="1:9" ht="19.5" customHeight="1">
      <c r="A19" s="365" t="s">
        <v>142</v>
      </c>
      <c r="B19" s="367"/>
      <c r="C19" s="367"/>
      <c r="D19" s="367"/>
      <c r="E19" s="367"/>
      <c r="F19" s="367"/>
      <c r="G19" s="367"/>
      <c r="H19" s="367"/>
      <c r="I19" s="367"/>
    </row>
  </sheetData>
  <sheetProtection/>
  <mergeCells count="4">
    <mergeCell ref="A16:I16"/>
    <mergeCell ref="A17:I17"/>
    <mergeCell ref="A18:I18"/>
    <mergeCell ref="A19:I1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.75390625" style="288" customWidth="1"/>
    <col min="2" max="2" width="29.25390625" style="288" customWidth="1"/>
    <col min="3" max="3" width="20.625" style="288" customWidth="1"/>
    <col min="4" max="4" width="21.125" style="288" customWidth="1"/>
    <col min="5" max="5" width="21.875" style="288" customWidth="1"/>
    <col min="6" max="6" width="33.625" style="288" customWidth="1"/>
    <col min="7" max="16384" width="9.125" style="288" customWidth="1"/>
  </cols>
  <sheetData>
    <row r="1" spans="1:6" ht="12.75">
      <c r="A1" s="47"/>
      <c r="B1" s="48" t="s">
        <v>64</v>
      </c>
      <c r="C1" s="370" t="s">
        <v>201</v>
      </c>
      <c r="D1" s="371"/>
      <c r="E1" s="371"/>
      <c r="F1" s="43"/>
    </row>
    <row r="2" spans="1:6" ht="12.75">
      <c r="A2" s="47"/>
      <c r="B2" s="48" t="s">
        <v>65</v>
      </c>
      <c r="C2" s="368">
        <v>7030100</v>
      </c>
      <c r="D2" s="369"/>
      <c r="E2" s="369"/>
      <c r="F2" s="43"/>
    </row>
    <row r="3" spans="1:6" ht="12.75">
      <c r="A3" s="47"/>
      <c r="B3" s="48" t="s">
        <v>67</v>
      </c>
      <c r="C3" s="296" t="s">
        <v>158</v>
      </c>
      <c r="D3" s="297"/>
      <c r="E3" s="297"/>
      <c r="F3" s="43"/>
    </row>
    <row r="4" spans="1:6" ht="14.25">
      <c r="A4" s="47"/>
      <c r="B4" s="48" t="s">
        <v>66</v>
      </c>
      <c r="C4" s="42" t="s">
        <v>147</v>
      </c>
      <c r="D4" s="44"/>
      <c r="E4" s="44"/>
      <c r="F4" s="44"/>
    </row>
    <row r="6" spans="1:6" ht="60.75" customHeight="1">
      <c r="A6" s="289" t="s">
        <v>148</v>
      </c>
      <c r="B6" s="290" t="s">
        <v>149</v>
      </c>
      <c r="C6" s="291" t="s">
        <v>150</v>
      </c>
      <c r="D6" s="291" t="s">
        <v>151</v>
      </c>
      <c r="E6" s="291" t="s">
        <v>152</v>
      </c>
      <c r="F6" s="290" t="s">
        <v>153</v>
      </c>
    </row>
    <row r="7" spans="1:6" s="292" customFormat="1" ht="67.5">
      <c r="A7" s="293">
        <v>1</v>
      </c>
      <c r="B7" s="298" t="s">
        <v>159</v>
      </c>
      <c r="C7" s="299" t="s">
        <v>160</v>
      </c>
      <c r="D7" s="300" t="s">
        <v>161</v>
      </c>
      <c r="E7" s="301" t="s">
        <v>162</v>
      </c>
      <c r="F7" s="302" t="s">
        <v>163</v>
      </c>
    </row>
    <row r="8" spans="1:6" ht="22.5">
      <c r="A8" s="293">
        <v>2</v>
      </c>
      <c r="B8" s="303" t="s">
        <v>164</v>
      </c>
      <c r="C8" s="299" t="s">
        <v>160</v>
      </c>
      <c r="D8" s="303" t="s">
        <v>165</v>
      </c>
      <c r="E8" s="304"/>
      <c r="F8" s="305" t="s">
        <v>166</v>
      </c>
    </row>
    <row r="9" spans="1:6" ht="22.5">
      <c r="A9" s="293">
        <v>3</v>
      </c>
      <c r="B9" s="303" t="s">
        <v>167</v>
      </c>
      <c r="C9" s="299" t="s">
        <v>160</v>
      </c>
      <c r="D9" s="303" t="s">
        <v>165</v>
      </c>
      <c r="E9" s="304"/>
      <c r="F9" s="305" t="s">
        <v>166</v>
      </c>
    </row>
    <row r="10" spans="1:6" ht="22.5">
      <c r="A10" s="293">
        <v>4</v>
      </c>
      <c r="B10" s="303" t="s">
        <v>168</v>
      </c>
      <c r="C10" s="299" t="s">
        <v>160</v>
      </c>
      <c r="D10" s="303" t="s">
        <v>169</v>
      </c>
      <c r="E10" s="304"/>
      <c r="F10" s="306" t="s">
        <v>170</v>
      </c>
    </row>
    <row r="11" spans="1:6" ht="45">
      <c r="A11" s="293">
        <v>5</v>
      </c>
      <c r="B11" s="307" t="s">
        <v>171</v>
      </c>
      <c r="C11" s="308" t="s">
        <v>160</v>
      </c>
      <c r="D11" s="309" t="s">
        <v>172</v>
      </c>
      <c r="E11" s="307" t="s">
        <v>173</v>
      </c>
      <c r="F11" s="310" t="s">
        <v>174</v>
      </c>
    </row>
    <row r="12" spans="1:6" ht="45">
      <c r="A12" s="293">
        <v>6</v>
      </c>
      <c r="B12" s="307" t="s">
        <v>175</v>
      </c>
      <c r="C12" s="308" t="s">
        <v>160</v>
      </c>
      <c r="D12" s="309" t="s">
        <v>176</v>
      </c>
      <c r="E12" s="307" t="s">
        <v>177</v>
      </c>
      <c r="F12" s="310" t="s">
        <v>178</v>
      </c>
    </row>
    <row r="13" spans="1:6" ht="45">
      <c r="A13" s="293">
        <v>7</v>
      </c>
      <c r="B13" s="307" t="s">
        <v>179</v>
      </c>
      <c r="C13" s="308" t="s">
        <v>160</v>
      </c>
      <c r="D13" s="309" t="s">
        <v>180</v>
      </c>
      <c r="E13" s="307" t="s">
        <v>177</v>
      </c>
      <c r="F13" s="310" t="s">
        <v>181</v>
      </c>
    </row>
    <row r="14" spans="1:6" ht="45">
      <c r="A14" s="293">
        <v>8</v>
      </c>
      <c r="B14" s="307" t="s">
        <v>182</v>
      </c>
      <c r="C14" s="308" t="s">
        <v>160</v>
      </c>
      <c r="D14" s="309" t="s">
        <v>183</v>
      </c>
      <c r="E14" s="307" t="s">
        <v>177</v>
      </c>
      <c r="F14" s="310" t="s">
        <v>184</v>
      </c>
    </row>
  </sheetData>
  <sheetProtection/>
  <mergeCells count="2">
    <mergeCell ref="C2:E2"/>
    <mergeCell ref="C1:E1"/>
  </mergeCells>
  <printOptions/>
  <pageMargins left="0.7" right="0.7" top="0.75" bottom="0.75" header="0.3" footer="0.3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.75390625" style="0" customWidth="1"/>
    <col min="2" max="2" width="29.25390625" style="0" customWidth="1"/>
    <col min="3" max="3" width="20.625" style="0" customWidth="1"/>
    <col min="4" max="4" width="21.125" style="0" customWidth="1"/>
    <col min="5" max="5" width="21.875" style="0" customWidth="1"/>
    <col min="6" max="6" width="32.625" style="0" customWidth="1"/>
  </cols>
  <sheetData>
    <row r="1" spans="1:6" ht="12.75">
      <c r="A1" s="47"/>
      <c r="B1" s="48" t="s">
        <v>64</v>
      </c>
      <c r="C1" s="370" t="s">
        <v>201</v>
      </c>
      <c r="D1" s="371"/>
      <c r="E1" s="371"/>
      <c r="F1" s="43"/>
    </row>
    <row r="2" spans="1:6" ht="12.75">
      <c r="A2" s="47"/>
      <c r="B2" s="48" t="s">
        <v>65</v>
      </c>
      <c r="C2" s="368">
        <v>7030100</v>
      </c>
      <c r="D2" s="369"/>
      <c r="E2" s="369"/>
      <c r="F2" s="43"/>
    </row>
    <row r="3" spans="1:6" ht="12.75">
      <c r="A3" s="47"/>
      <c r="B3" s="48" t="s">
        <v>67</v>
      </c>
      <c r="C3" s="296" t="s">
        <v>158</v>
      </c>
      <c r="D3" s="297"/>
      <c r="E3" s="297"/>
      <c r="F3" s="43"/>
    </row>
    <row r="4" spans="1:6" ht="14.25">
      <c r="A4" s="47"/>
      <c r="B4" s="48" t="s">
        <v>66</v>
      </c>
      <c r="C4" s="294" t="s">
        <v>154</v>
      </c>
      <c r="D4" s="295"/>
      <c r="E4" s="295"/>
      <c r="F4" s="295"/>
    </row>
    <row r="5" spans="1:6" ht="12.75">
      <c r="A5" s="288"/>
      <c r="B5" s="288"/>
      <c r="C5" s="288"/>
      <c r="D5" s="288"/>
      <c r="E5" s="288"/>
      <c r="F5" s="288"/>
    </row>
    <row r="6" spans="1:6" ht="51">
      <c r="A6" s="289" t="s">
        <v>148</v>
      </c>
      <c r="B6" s="290" t="s">
        <v>149</v>
      </c>
      <c r="C6" s="291" t="s">
        <v>155</v>
      </c>
      <c r="D6" s="291" t="s">
        <v>151</v>
      </c>
      <c r="E6" s="290" t="s">
        <v>150</v>
      </c>
      <c r="F6" s="291" t="s">
        <v>156</v>
      </c>
    </row>
    <row r="7" spans="1:6" ht="25.5">
      <c r="A7" s="311">
        <v>1</v>
      </c>
      <c r="B7" s="312" t="s">
        <v>185</v>
      </c>
      <c r="C7" s="313" t="s">
        <v>186</v>
      </c>
      <c r="D7" s="314" t="s">
        <v>187</v>
      </c>
      <c r="E7" s="314" t="s">
        <v>188</v>
      </c>
      <c r="F7" s="315" t="s">
        <v>189</v>
      </c>
    </row>
    <row r="8" spans="1:6" ht="25.5">
      <c r="A8" s="311">
        <v>2</v>
      </c>
      <c r="B8" s="312" t="s">
        <v>190</v>
      </c>
      <c r="C8" s="316" t="s">
        <v>191</v>
      </c>
      <c r="D8" s="314" t="s">
        <v>187</v>
      </c>
      <c r="E8" s="314" t="s">
        <v>188</v>
      </c>
      <c r="F8" s="315" t="s">
        <v>189</v>
      </c>
    </row>
    <row r="9" spans="1:6" ht="25.5">
      <c r="A9" s="311">
        <v>3</v>
      </c>
      <c r="B9" s="312" t="s">
        <v>192</v>
      </c>
      <c r="C9" s="316" t="s">
        <v>193</v>
      </c>
      <c r="D9" s="314" t="s">
        <v>187</v>
      </c>
      <c r="E9" s="314" t="s">
        <v>188</v>
      </c>
      <c r="F9" s="315" t="s">
        <v>189</v>
      </c>
    </row>
    <row r="10" spans="1:6" ht="25.5">
      <c r="A10" s="311">
        <v>4</v>
      </c>
      <c r="B10" s="312" t="s">
        <v>194</v>
      </c>
      <c r="C10" s="316" t="s">
        <v>191</v>
      </c>
      <c r="D10" s="314" t="s">
        <v>195</v>
      </c>
      <c r="E10" s="314" t="s">
        <v>188</v>
      </c>
      <c r="F10" s="315" t="s">
        <v>189</v>
      </c>
    </row>
    <row r="11" spans="1:6" ht="25.5">
      <c r="A11" s="311">
        <v>5</v>
      </c>
      <c r="B11" s="312" t="s">
        <v>196</v>
      </c>
      <c r="C11" s="316" t="s">
        <v>191</v>
      </c>
      <c r="D11" s="314" t="s">
        <v>197</v>
      </c>
      <c r="E11" s="314" t="s">
        <v>188</v>
      </c>
      <c r="F11" s="315" t="s">
        <v>198</v>
      </c>
    </row>
    <row r="12" spans="1:6" ht="25.5">
      <c r="A12" s="311">
        <v>6</v>
      </c>
      <c r="B12" s="312" t="s">
        <v>199</v>
      </c>
      <c r="C12" s="316" t="s">
        <v>200</v>
      </c>
      <c r="D12" s="314" t="s">
        <v>195</v>
      </c>
      <c r="E12" s="314" t="s">
        <v>188</v>
      </c>
      <c r="F12" s="315" t="s">
        <v>174</v>
      </c>
    </row>
    <row r="13" spans="1:6" ht="12.75">
      <c r="A13" s="288"/>
      <c r="B13" s="288"/>
      <c r="C13" s="288"/>
      <c r="D13" s="288"/>
      <c r="E13" s="288"/>
      <c r="F13" s="288"/>
    </row>
    <row r="14" spans="1:6" ht="12.75">
      <c r="A14" s="288"/>
      <c r="B14" s="288"/>
      <c r="C14" s="372" t="s">
        <v>157</v>
      </c>
      <c r="D14" s="372"/>
      <c r="E14" s="372"/>
      <c r="F14" s="372"/>
    </row>
    <row r="15" spans="1:6" ht="12.75">
      <c r="A15" s="288"/>
      <c r="B15" s="288"/>
      <c r="C15" s="288"/>
      <c r="D15" s="288"/>
      <c r="E15" s="288"/>
      <c r="F15" s="288"/>
    </row>
    <row r="16" spans="1:6" ht="12.75">
      <c r="A16" s="288"/>
      <c r="B16" s="288"/>
      <c r="C16" s="288"/>
      <c r="D16" s="288"/>
      <c r="E16" s="288"/>
      <c r="F16" s="288"/>
    </row>
    <row r="17" spans="1:6" ht="12.75">
      <c r="A17" s="288"/>
      <c r="B17" s="288"/>
      <c r="C17" s="288"/>
      <c r="D17" s="288"/>
      <c r="E17" s="288"/>
      <c r="F17" s="288"/>
    </row>
  </sheetData>
  <sheetProtection/>
  <mergeCells count="3">
    <mergeCell ref="C14:F14"/>
    <mergeCell ref="C2:E2"/>
    <mergeCell ref="C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.75390625" style="0" customWidth="1"/>
    <col min="2" max="2" width="21.125" style="334" customWidth="1"/>
    <col min="3" max="3" width="15.75390625" style="0" customWidth="1"/>
    <col min="4" max="4" width="9.00390625" style="0" customWidth="1"/>
    <col min="5" max="5" width="13.00390625" style="0" customWidth="1"/>
    <col min="6" max="6" width="13.375" style="0" customWidth="1"/>
    <col min="7" max="7" width="12.125" style="0" customWidth="1"/>
    <col min="8" max="8" width="16.125" style="0" customWidth="1"/>
    <col min="9" max="9" width="13.25390625" style="0" customWidth="1"/>
    <col min="10" max="10" width="11.625" style="0" customWidth="1"/>
    <col min="11" max="11" width="15.375" style="0" customWidth="1"/>
  </cols>
  <sheetData>
    <row r="1" spans="1:7" ht="12.75">
      <c r="A1" s="47"/>
      <c r="B1" s="331" t="s">
        <v>64</v>
      </c>
      <c r="C1" s="373" t="s">
        <v>201</v>
      </c>
      <c r="D1" s="374"/>
      <c r="E1" s="374"/>
      <c r="F1" s="374"/>
      <c r="G1" s="374"/>
    </row>
    <row r="2" spans="1:6" ht="12.75">
      <c r="A2" s="47"/>
      <c r="B2" s="331" t="s">
        <v>65</v>
      </c>
      <c r="C2" s="368">
        <v>7030100</v>
      </c>
      <c r="D2" s="369"/>
      <c r="E2" s="369"/>
      <c r="F2" s="43"/>
    </row>
    <row r="3" spans="1:6" ht="12.75">
      <c r="A3" s="47"/>
      <c r="B3" s="331" t="s">
        <v>67</v>
      </c>
      <c r="C3" s="296" t="s">
        <v>158</v>
      </c>
      <c r="D3" s="297"/>
      <c r="E3" s="297"/>
      <c r="F3" s="43"/>
    </row>
    <row r="4" spans="1:6" ht="14.25">
      <c r="A4" s="47"/>
      <c r="B4" s="331" t="s">
        <v>66</v>
      </c>
      <c r="C4" s="42" t="s">
        <v>202</v>
      </c>
      <c r="D4" s="44"/>
      <c r="E4" s="44"/>
      <c r="F4" s="44"/>
    </row>
    <row r="5" spans="1:6" ht="12.75">
      <c r="A5" s="288"/>
      <c r="B5" s="332"/>
      <c r="C5" s="288"/>
      <c r="D5" s="288"/>
      <c r="E5" s="288"/>
      <c r="F5" s="288"/>
    </row>
    <row r="6" spans="1:11" ht="112.5" customHeight="1">
      <c r="A6" s="289" t="s">
        <v>148</v>
      </c>
      <c r="B6" s="333" t="s">
        <v>149</v>
      </c>
      <c r="C6" s="291" t="s">
        <v>203</v>
      </c>
      <c r="D6" s="291" t="s">
        <v>204</v>
      </c>
      <c r="E6" s="291" t="s">
        <v>205</v>
      </c>
      <c r="F6" s="317" t="s">
        <v>206</v>
      </c>
      <c r="G6" s="317" t="s">
        <v>207</v>
      </c>
      <c r="H6" s="317" t="s">
        <v>208</v>
      </c>
      <c r="I6" s="317" t="s">
        <v>209</v>
      </c>
      <c r="J6" s="317" t="s">
        <v>210</v>
      </c>
      <c r="K6" s="317" t="s">
        <v>211</v>
      </c>
    </row>
    <row r="7" spans="1:11" ht="48">
      <c r="A7" s="318" t="s">
        <v>212</v>
      </c>
      <c r="B7" s="326" t="s">
        <v>213</v>
      </c>
      <c r="C7" s="319" t="s">
        <v>214</v>
      </c>
      <c r="D7" s="319" t="s">
        <v>215</v>
      </c>
      <c r="E7" s="319" t="s">
        <v>216</v>
      </c>
      <c r="F7" s="318" t="s">
        <v>217</v>
      </c>
      <c r="G7" s="320" t="s">
        <v>218</v>
      </c>
      <c r="H7" s="321" t="s">
        <v>219</v>
      </c>
      <c r="I7" s="318" t="s">
        <v>217</v>
      </c>
      <c r="J7" s="322" t="s">
        <v>220</v>
      </c>
      <c r="K7" s="321" t="s">
        <v>219</v>
      </c>
    </row>
    <row r="8" spans="1:11" ht="48">
      <c r="A8" s="318" t="s">
        <v>221</v>
      </c>
      <c r="B8" s="326" t="s">
        <v>222</v>
      </c>
      <c r="C8" s="319" t="s">
        <v>223</v>
      </c>
      <c r="D8" s="319" t="s">
        <v>215</v>
      </c>
      <c r="E8" s="319" t="s">
        <v>216</v>
      </c>
      <c r="F8" s="318" t="s">
        <v>217</v>
      </c>
      <c r="G8" s="320" t="s">
        <v>224</v>
      </c>
      <c r="H8" s="321" t="s">
        <v>219</v>
      </c>
      <c r="I8" s="318" t="s">
        <v>217</v>
      </c>
      <c r="J8" s="322" t="s">
        <v>218</v>
      </c>
      <c r="K8" s="321" t="s">
        <v>219</v>
      </c>
    </row>
    <row r="9" spans="1:11" ht="36">
      <c r="A9" s="318" t="s">
        <v>225</v>
      </c>
      <c r="B9" s="326" t="s">
        <v>159</v>
      </c>
      <c r="C9" s="319" t="s">
        <v>214</v>
      </c>
      <c r="D9" s="319" t="s">
        <v>215</v>
      </c>
      <c r="E9" s="319" t="s">
        <v>226</v>
      </c>
      <c r="F9" s="318" t="s">
        <v>227</v>
      </c>
      <c r="G9" s="320" t="s">
        <v>218</v>
      </c>
      <c r="H9" s="323">
        <v>0.8</v>
      </c>
      <c r="I9" s="318" t="s">
        <v>227</v>
      </c>
      <c r="J9" s="322" t="s">
        <v>220</v>
      </c>
      <c r="K9" s="323">
        <v>0.1</v>
      </c>
    </row>
    <row r="10" spans="1:11" ht="48">
      <c r="A10" s="318" t="s">
        <v>228</v>
      </c>
      <c r="B10" s="326" t="s">
        <v>229</v>
      </c>
      <c r="C10" s="319" t="s">
        <v>230</v>
      </c>
      <c r="D10" s="319" t="s">
        <v>215</v>
      </c>
      <c r="E10" s="319" t="s">
        <v>216</v>
      </c>
      <c r="F10" s="318" t="s">
        <v>217</v>
      </c>
      <c r="G10" s="320" t="s">
        <v>218</v>
      </c>
      <c r="H10" s="321" t="s">
        <v>219</v>
      </c>
      <c r="I10" s="318" t="s">
        <v>217</v>
      </c>
      <c r="J10" s="322" t="s">
        <v>220</v>
      </c>
      <c r="K10" s="321" t="s">
        <v>219</v>
      </c>
    </row>
    <row r="11" spans="1:11" ht="48">
      <c r="A11" s="318" t="s">
        <v>231</v>
      </c>
      <c r="B11" s="326" t="s">
        <v>232</v>
      </c>
      <c r="C11" s="319" t="s">
        <v>230</v>
      </c>
      <c r="D11" s="319" t="s">
        <v>215</v>
      </c>
      <c r="E11" s="319" t="s">
        <v>216</v>
      </c>
      <c r="F11" s="318" t="s">
        <v>233</v>
      </c>
      <c r="G11" s="320" t="s">
        <v>218</v>
      </c>
      <c r="H11" s="321" t="s">
        <v>219</v>
      </c>
      <c r="I11" s="318" t="s">
        <v>227</v>
      </c>
      <c r="J11" s="322" t="s">
        <v>220</v>
      </c>
      <c r="K11" s="321" t="s">
        <v>219</v>
      </c>
    </row>
    <row r="12" spans="1:11" ht="48">
      <c r="A12" s="318" t="s">
        <v>234</v>
      </c>
      <c r="B12" s="326" t="s">
        <v>235</v>
      </c>
      <c r="C12" s="319" t="s">
        <v>214</v>
      </c>
      <c r="D12" s="319" t="s">
        <v>215</v>
      </c>
      <c r="E12" s="319" t="s">
        <v>216</v>
      </c>
      <c r="F12" s="318" t="s">
        <v>217</v>
      </c>
      <c r="G12" s="320" t="s">
        <v>224</v>
      </c>
      <c r="H12" s="321" t="s">
        <v>219</v>
      </c>
      <c r="I12" s="318" t="s">
        <v>217</v>
      </c>
      <c r="J12" s="322" t="s">
        <v>220</v>
      </c>
      <c r="K12" s="321" t="s">
        <v>219</v>
      </c>
    </row>
    <row r="13" spans="1:11" ht="48">
      <c r="A13" s="318" t="s">
        <v>236</v>
      </c>
      <c r="B13" s="326" t="s">
        <v>237</v>
      </c>
      <c r="C13" s="319" t="s">
        <v>223</v>
      </c>
      <c r="D13" s="319" t="s">
        <v>215</v>
      </c>
      <c r="E13" s="319" t="s">
        <v>216</v>
      </c>
      <c r="F13" s="318" t="s">
        <v>217</v>
      </c>
      <c r="G13" s="320" t="s">
        <v>224</v>
      </c>
      <c r="H13" s="321" t="s">
        <v>219</v>
      </c>
      <c r="I13" s="318" t="s">
        <v>217</v>
      </c>
      <c r="J13" s="322" t="s">
        <v>218</v>
      </c>
      <c r="K13" s="321" t="s">
        <v>219</v>
      </c>
    </row>
    <row r="14" spans="1:11" ht="48">
      <c r="A14" s="318" t="s">
        <v>238</v>
      </c>
      <c r="B14" s="326" t="s">
        <v>239</v>
      </c>
      <c r="C14" s="319" t="s">
        <v>223</v>
      </c>
      <c r="D14" s="319" t="s">
        <v>215</v>
      </c>
      <c r="E14" s="319" t="s">
        <v>216</v>
      </c>
      <c r="F14" s="318" t="s">
        <v>217</v>
      </c>
      <c r="G14" s="320" t="s">
        <v>224</v>
      </c>
      <c r="H14" s="321" t="s">
        <v>219</v>
      </c>
      <c r="I14" s="318" t="s">
        <v>217</v>
      </c>
      <c r="J14" s="322" t="s">
        <v>218</v>
      </c>
      <c r="K14" s="321" t="s">
        <v>219</v>
      </c>
    </row>
    <row r="15" spans="1:11" ht="48">
      <c r="A15" s="318" t="s">
        <v>240</v>
      </c>
      <c r="B15" s="326" t="s">
        <v>241</v>
      </c>
      <c r="C15" s="319" t="s">
        <v>242</v>
      </c>
      <c r="D15" s="319" t="s">
        <v>215</v>
      </c>
      <c r="E15" s="319" t="s">
        <v>216</v>
      </c>
      <c r="F15" s="318" t="s">
        <v>217</v>
      </c>
      <c r="G15" s="320" t="s">
        <v>224</v>
      </c>
      <c r="H15" s="321" t="s">
        <v>219</v>
      </c>
      <c r="I15" s="318" t="s">
        <v>217</v>
      </c>
      <c r="J15" s="322" t="s">
        <v>220</v>
      </c>
      <c r="K15" s="321" t="s">
        <v>219</v>
      </c>
    </row>
    <row r="16" spans="1:11" ht="48">
      <c r="A16" s="318" t="s">
        <v>243</v>
      </c>
      <c r="B16" s="326" t="s">
        <v>244</v>
      </c>
      <c r="C16" s="319" t="s">
        <v>242</v>
      </c>
      <c r="D16" s="319" t="s">
        <v>215</v>
      </c>
      <c r="E16" s="319" t="s">
        <v>216</v>
      </c>
      <c r="F16" s="318" t="s">
        <v>217</v>
      </c>
      <c r="G16" s="320" t="s">
        <v>224</v>
      </c>
      <c r="H16" s="321" t="s">
        <v>219</v>
      </c>
      <c r="I16" s="318" t="s">
        <v>217</v>
      </c>
      <c r="J16" s="322" t="s">
        <v>220</v>
      </c>
      <c r="K16" s="321" t="s">
        <v>219</v>
      </c>
    </row>
    <row r="17" spans="1:11" ht="56.25">
      <c r="A17" s="318" t="s">
        <v>245</v>
      </c>
      <c r="B17" s="326" t="s">
        <v>246</v>
      </c>
      <c r="C17" s="319" t="s">
        <v>247</v>
      </c>
      <c r="D17" s="319" t="s">
        <v>215</v>
      </c>
      <c r="E17" s="319" t="s">
        <v>216</v>
      </c>
      <c r="F17" s="318" t="s">
        <v>217</v>
      </c>
      <c r="G17" s="320" t="s">
        <v>224</v>
      </c>
      <c r="H17" s="321" t="s">
        <v>219</v>
      </c>
      <c r="I17" s="321"/>
      <c r="J17" s="324" t="s">
        <v>248</v>
      </c>
      <c r="K17" s="321" t="s">
        <v>219</v>
      </c>
    </row>
    <row r="18" spans="1:11" ht="56.25">
      <c r="A18" s="325" t="s">
        <v>249</v>
      </c>
      <c r="B18" s="326" t="s">
        <v>250</v>
      </c>
      <c r="C18" s="326" t="s">
        <v>247</v>
      </c>
      <c r="D18" s="326" t="s">
        <v>215</v>
      </c>
      <c r="E18" s="326" t="s">
        <v>216</v>
      </c>
      <c r="F18" s="325" t="s">
        <v>217</v>
      </c>
      <c r="G18" s="327" t="s">
        <v>224</v>
      </c>
      <c r="H18" s="328" t="s">
        <v>219</v>
      </c>
      <c r="I18" s="328"/>
      <c r="J18" s="329" t="s">
        <v>248</v>
      </c>
      <c r="K18" s="321" t="s">
        <v>219</v>
      </c>
    </row>
    <row r="19" spans="1:11" ht="56.25">
      <c r="A19" s="325" t="s">
        <v>251</v>
      </c>
      <c r="B19" s="326" t="s">
        <v>252</v>
      </c>
      <c r="C19" s="326" t="s">
        <v>247</v>
      </c>
      <c r="D19" s="326" t="s">
        <v>215</v>
      </c>
      <c r="E19" s="326" t="s">
        <v>216</v>
      </c>
      <c r="F19" s="325" t="s">
        <v>217</v>
      </c>
      <c r="G19" s="327" t="s">
        <v>224</v>
      </c>
      <c r="H19" s="328" t="s">
        <v>219</v>
      </c>
      <c r="I19" s="328"/>
      <c r="J19" s="329" t="s">
        <v>248</v>
      </c>
      <c r="K19" s="328" t="s">
        <v>219</v>
      </c>
    </row>
    <row r="20" spans="1:11" ht="56.25">
      <c r="A20" s="330" t="s">
        <v>253</v>
      </c>
      <c r="B20" s="326" t="s">
        <v>254</v>
      </c>
      <c r="C20" s="319" t="s">
        <v>247</v>
      </c>
      <c r="D20" s="319" t="s">
        <v>215</v>
      </c>
      <c r="E20" s="319" t="s">
        <v>216</v>
      </c>
      <c r="F20" s="318" t="s">
        <v>217</v>
      </c>
      <c r="G20" s="320" t="s">
        <v>224</v>
      </c>
      <c r="H20" s="321" t="s">
        <v>219</v>
      </c>
      <c r="I20" s="321"/>
      <c r="J20" s="324" t="s">
        <v>248</v>
      </c>
      <c r="K20" s="321" t="s">
        <v>219</v>
      </c>
    </row>
    <row r="21" spans="1:11" ht="56.25">
      <c r="A21" s="318" t="s">
        <v>255</v>
      </c>
      <c r="B21" s="326" t="s">
        <v>256</v>
      </c>
      <c r="C21" s="319" t="s">
        <v>247</v>
      </c>
      <c r="D21" s="319" t="s">
        <v>215</v>
      </c>
      <c r="E21" s="319" t="s">
        <v>216</v>
      </c>
      <c r="F21" s="318" t="s">
        <v>217</v>
      </c>
      <c r="G21" s="320" t="s">
        <v>224</v>
      </c>
      <c r="H21" s="321" t="s">
        <v>219</v>
      </c>
      <c r="I21" s="321"/>
      <c r="J21" s="324" t="s">
        <v>248</v>
      </c>
      <c r="K21" s="321" t="s">
        <v>219</v>
      </c>
    </row>
    <row r="22" spans="1:11" ht="56.25">
      <c r="A22" s="318" t="s">
        <v>257</v>
      </c>
      <c r="B22" s="326" t="s">
        <v>258</v>
      </c>
      <c r="C22" s="319" t="s">
        <v>247</v>
      </c>
      <c r="D22" s="319" t="s">
        <v>215</v>
      </c>
      <c r="E22" s="319" t="s">
        <v>216</v>
      </c>
      <c r="F22" s="318" t="s">
        <v>217</v>
      </c>
      <c r="G22" s="320" t="s">
        <v>224</v>
      </c>
      <c r="H22" s="321" t="s">
        <v>219</v>
      </c>
      <c r="I22" s="321"/>
      <c r="J22" s="324" t="s">
        <v>248</v>
      </c>
      <c r="K22" s="321" t="s">
        <v>219</v>
      </c>
    </row>
    <row r="23" spans="1:11" ht="56.25">
      <c r="A23" s="330" t="s">
        <v>259</v>
      </c>
      <c r="B23" s="326" t="s">
        <v>260</v>
      </c>
      <c r="C23" s="319" t="s">
        <v>247</v>
      </c>
      <c r="D23" s="319" t="s">
        <v>215</v>
      </c>
      <c r="E23" s="319" t="s">
        <v>216</v>
      </c>
      <c r="F23" s="318" t="s">
        <v>217</v>
      </c>
      <c r="G23" s="320" t="s">
        <v>224</v>
      </c>
      <c r="H23" s="321" t="s">
        <v>219</v>
      </c>
      <c r="I23" s="321"/>
      <c r="J23" s="324" t="s">
        <v>248</v>
      </c>
      <c r="K23" s="321" t="s">
        <v>219</v>
      </c>
    </row>
    <row r="24" spans="1:11" ht="56.25">
      <c r="A24" s="330" t="s">
        <v>261</v>
      </c>
      <c r="B24" s="326" t="s">
        <v>262</v>
      </c>
      <c r="C24" s="319" t="s">
        <v>230</v>
      </c>
      <c r="D24" s="319" t="s">
        <v>215</v>
      </c>
      <c r="E24" s="319" t="s">
        <v>216</v>
      </c>
      <c r="F24" s="318" t="s">
        <v>217</v>
      </c>
      <c r="G24" s="320" t="s">
        <v>218</v>
      </c>
      <c r="H24" s="323"/>
      <c r="I24" s="321"/>
      <c r="J24" s="324" t="s">
        <v>248</v>
      </c>
      <c r="K24" s="323"/>
    </row>
  </sheetData>
  <sheetProtection/>
  <mergeCells count="2">
    <mergeCell ref="C2:E2"/>
    <mergeCell ref="C1:G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nada.velickovic</cp:lastModifiedBy>
  <cp:lastPrinted>2020-10-16T12:22:58Z</cp:lastPrinted>
  <dcterms:created xsi:type="dcterms:W3CDTF">1998-03-25T08:50:17Z</dcterms:created>
  <dcterms:modified xsi:type="dcterms:W3CDTF">2023-01-26T13:42:28Z</dcterms:modified>
  <cp:category/>
  <cp:version/>
  <cp:contentType/>
  <cp:contentStatus/>
</cp:coreProperties>
</file>