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0335" windowHeight="7530" activeTab="3"/>
  </bookViews>
  <sheets>
    <sheet name="ОБРАЂ.УП.-ЗАДО.КОРИ.СПЕЦ.СЛ." sheetId="4" r:id="rId1"/>
    <sheet name="ОБРА.УП.О ЗАДО.КОРИ.БОЛ.ЛЕЧЕЊЕМ" sheetId="5" r:id="rId2"/>
    <sheet name="ОБРАЂЕНИ УП.-ЗАДОВ.ЗАОСЛЕНИХ" sheetId="1" r:id="rId3"/>
    <sheet name="ОБРА.УП.О ЗАДО.КОРИ.ДИЈАЛИЗА" sheetId="6" r:id="rId4"/>
  </sheets>
  <definedNames>
    <definedName name="_xlnm._FilterDatabase" localSheetId="2" hidden="1">'ОБРАЂЕНИ УП.-ЗАДОВ.ЗАОСЛЕНИХ'!$A$7:$T$79</definedName>
  </definedNames>
  <calcPr calcId="145621"/>
</workbook>
</file>

<file path=xl/calcChain.xml><?xml version="1.0" encoding="utf-8"?>
<calcChain xmlns="http://schemas.openxmlformats.org/spreadsheetml/2006/main">
  <c r="N48" i="4" l="1"/>
  <c r="K48" i="4"/>
  <c r="I48" i="4"/>
  <c r="F48" i="4"/>
  <c r="D48" i="4"/>
  <c r="A48" i="4"/>
  <c r="M45" i="4"/>
  <c r="I45" i="4"/>
  <c r="E45" i="4"/>
  <c r="A45" i="4"/>
  <c r="M42" i="4"/>
  <c r="K42" i="4"/>
  <c r="I42" i="4"/>
  <c r="G42" i="4"/>
  <c r="E42" i="4"/>
  <c r="C42" i="4"/>
  <c r="P42" i="4" s="1"/>
  <c r="A42" i="4"/>
  <c r="N39" i="4"/>
  <c r="K39" i="4"/>
  <c r="G39" i="4"/>
  <c r="D39" i="4"/>
  <c r="A39" i="4"/>
  <c r="N34" i="4"/>
  <c r="K34" i="4"/>
  <c r="I34" i="4"/>
  <c r="F34" i="4"/>
  <c r="D34" i="4"/>
  <c r="A34" i="4"/>
  <c r="N31" i="4"/>
  <c r="K31" i="4"/>
  <c r="I31" i="4"/>
  <c r="F31" i="4"/>
  <c r="D31" i="4"/>
  <c r="A31" i="4"/>
  <c r="I28" i="4"/>
  <c r="N28" i="4"/>
  <c r="K28" i="4"/>
  <c r="F28" i="4"/>
  <c r="D28" i="4"/>
  <c r="A28" i="4"/>
  <c r="I25" i="4"/>
  <c r="N25" i="4"/>
  <c r="K25" i="4"/>
  <c r="F25" i="4"/>
  <c r="D25" i="4"/>
  <c r="A25" i="4"/>
  <c r="N22" i="4"/>
  <c r="K22" i="4"/>
  <c r="I22" i="4"/>
  <c r="F22" i="4"/>
  <c r="D22" i="4"/>
  <c r="A22" i="4"/>
  <c r="N19" i="4"/>
  <c r="K19" i="4"/>
  <c r="I19" i="4"/>
  <c r="F19" i="4"/>
  <c r="D19" i="4"/>
  <c r="A19" i="4"/>
  <c r="F15" i="4"/>
  <c r="N15" i="4"/>
  <c r="K15" i="4"/>
  <c r="I15" i="4"/>
  <c r="D15" i="4"/>
  <c r="A15" i="4"/>
  <c r="M12" i="4"/>
  <c r="J12" i="4"/>
  <c r="G12" i="4"/>
  <c r="D12" i="4"/>
  <c r="A12" i="4"/>
  <c r="K7" i="4"/>
  <c r="F7" i="4"/>
  <c r="A7" i="4"/>
  <c r="I84" i="5" l="1"/>
  <c r="N84" i="5"/>
  <c r="K84" i="5"/>
  <c r="F84" i="5"/>
  <c r="D84" i="5"/>
  <c r="A84" i="5"/>
  <c r="M81" i="5"/>
  <c r="I81" i="5"/>
  <c r="E81" i="5"/>
  <c r="A81" i="5"/>
  <c r="N78" i="5"/>
  <c r="K78" i="5"/>
  <c r="I78" i="5"/>
  <c r="G78" i="5"/>
  <c r="E78" i="5"/>
  <c r="C78" i="5"/>
  <c r="A78" i="5"/>
  <c r="P75" i="5"/>
  <c r="M75" i="5"/>
  <c r="I75" i="5"/>
  <c r="E75" i="5"/>
  <c r="A75" i="5"/>
  <c r="N72" i="5"/>
  <c r="K72" i="5"/>
  <c r="I72" i="5"/>
  <c r="F72" i="5"/>
  <c r="D72" i="5"/>
  <c r="A72" i="5"/>
  <c r="N69" i="5"/>
  <c r="K69" i="5"/>
  <c r="I69" i="5"/>
  <c r="F69" i="5"/>
  <c r="D69" i="5"/>
  <c r="A69" i="5"/>
  <c r="N66" i="5"/>
  <c r="K66" i="5"/>
  <c r="I66" i="5"/>
  <c r="F66" i="5"/>
  <c r="D66" i="5"/>
  <c r="A66" i="5"/>
  <c r="N63" i="5"/>
  <c r="K63" i="5"/>
  <c r="I63" i="5"/>
  <c r="F63" i="5"/>
  <c r="D63" i="5"/>
  <c r="A63" i="5"/>
  <c r="N60" i="5"/>
  <c r="K60" i="5"/>
  <c r="I60" i="5"/>
  <c r="F60" i="5"/>
  <c r="D60" i="5"/>
  <c r="A60" i="5"/>
  <c r="N57" i="5"/>
  <c r="K57" i="5"/>
  <c r="I57" i="5"/>
  <c r="F57" i="5"/>
  <c r="D57" i="5"/>
  <c r="A57" i="5"/>
  <c r="P53" i="5"/>
  <c r="N53" i="5"/>
  <c r="K53" i="5"/>
  <c r="I53" i="5"/>
  <c r="F53" i="5"/>
  <c r="D53" i="5"/>
  <c r="A53" i="5"/>
  <c r="P50" i="5"/>
  <c r="N50" i="5"/>
  <c r="K50" i="5"/>
  <c r="I50" i="5"/>
  <c r="F50" i="5"/>
  <c r="D50" i="5"/>
  <c r="A50" i="5"/>
  <c r="P47" i="5"/>
  <c r="N47" i="5"/>
  <c r="K47" i="5"/>
  <c r="I47" i="5"/>
  <c r="F47" i="5"/>
  <c r="D47" i="5"/>
  <c r="A47" i="5"/>
  <c r="P44" i="5"/>
  <c r="N44" i="5"/>
  <c r="K44" i="5"/>
  <c r="I44" i="5"/>
  <c r="F44" i="5"/>
  <c r="D44" i="5"/>
  <c r="A44" i="5"/>
  <c r="P40" i="5"/>
  <c r="N40" i="5"/>
  <c r="K40" i="5"/>
  <c r="I40" i="5"/>
  <c r="F40" i="5"/>
  <c r="D40" i="5"/>
  <c r="A40" i="5"/>
  <c r="P37" i="5"/>
  <c r="N37" i="5"/>
  <c r="K37" i="5"/>
  <c r="I37" i="5"/>
  <c r="F37" i="5"/>
  <c r="D37" i="5"/>
  <c r="A37" i="5"/>
  <c r="N34" i="5"/>
  <c r="K34" i="5"/>
  <c r="I34" i="5"/>
  <c r="F34" i="5"/>
  <c r="D34" i="5"/>
  <c r="A34" i="5"/>
  <c r="N31" i="5"/>
  <c r="K31" i="5"/>
  <c r="I31" i="5"/>
  <c r="F31" i="5"/>
  <c r="D31" i="5"/>
  <c r="A31" i="5"/>
  <c r="N28" i="5"/>
  <c r="K28" i="5"/>
  <c r="I28" i="5"/>
  <c r="F28" i="5"/>
  <c r="D28" i="5"/>
  <c r="A28" i="5"/>
  <c r="N25" i="5"/>
  <c r="K25" i="5"/>
  <c r="I25" i="5"/>
  <c r="F25" i="5"/>
  <c r="D25" i="5"/>
  <c r="A25" i="5"/>
  <c r="N22" i="5"/>
  <c r="K22" i="5"/>
  <c r="I22" i="5"/>
  <c r="F22" i="5"/>
  <c r="D22" i="5"/>
  <c r="A22" i="5"/>
  <c r="N19" i="5"/>
  <c r="K19" i="5"/>
  <c r="I19" i="5"/>
  <c r="F19" i="5"/>
  <c r="D19" i="5"/>
  <c r="A19" i="5"/>
  <c r="N15" i="5"/>
  <c r="K15" i="5"/>
  <c r="I15" i="5"/>
  <c r="F15" i="5"/>
  <c r="D15" i="5"/>
  <c r="A15" i="5"/>
  <c r="M12" i="5"/>
  <c r="J12" i="5"/>
  <c r="G12" i="5"/>
  <c r="D12" i="5"/>
  <c r="A12" i="5"/>
  <c r="K7" i="5"/>
  <c r="F7" i="5"/>
  <c r="A7" i="5"/>
  <c r="N79" i="1"/>
  <c r="N80" i="1"/>
  <c r="K80" i="1"/>
  <c r="F80" i="1"/>
  <c r="A80" i="1"/>
  <c r="N81" i="1"/>
  <c r="K81" i="1"/>
  <c r="F81" i="1"/>
  <c r="A81" i="1"/>
  <c r="K79" i="1"/>
  <c r="F79" i="1"/>
  <c r="A79" i="1"/>
  <c r="M76" i="1"/>
  <c r="G76" i="1"/>
  <c r="A76" i="1"/>
  <c r="P70" i="1"/>
  <c r="K70" i="1"/>
  <c r="F70" i="1"/>
  <c r="A70" i="1"/>
  <c r="M67" i="1"/>
  <c r="G67" i="1"/>
  <c r="A67" i="1"/>
  <c r="P63" i="1"/>
  <c r="M63" i="1"/>
  <c r="J63" i="1"/>
  <c r="G63" i="1"/>
  <c r="D63" i="1"/>
  <c r="A63" i="1"/>
  <c r="T60" i="1"/>
  <c r="Q60" i="1"/>
  <c r="M60" i="1"/>
  <c r="I60" i="1"/>
  <c r="E60" i="1"/>
  <c r="A60" i="1"/>
  <c r="O56" i="1"/>
  <c r="M56" i="1"/>
  <c r="K56" i="1"/>
  <c r="K57" i="1" s="1"/>
  <c r="H56" i="1"/>
  <c r="E56" i="1"/>
  <c r="C56" i="1"/>
  <c r="A56" i="1"/>
  <c r="A57" i="1" s="1"/>
  <c r="O55" i="1"/>
  <c r="M55" i="1"/>
  <c r="K55" i="1"/>
  <c r="H55" i="1"/>
  <c r="E55" i="1"/>
  <c r="O57" i="1"/>
  <c r="M57" i="1"/>
  <c r="H57" i="1"/>
  <c r="E57" i="1"/>
  <c r="C57" i="1"/>
  <c r="C55" i="1" l="1"/>
  <c r="A55" i="1"/>
  <c r="M51" i="1"/>
  <c r="G51" i="1"/>
  <c r="A51" i="1"/>
  <c r="P48" i="1"/>
  <c r="M48" i="1"/>
  <c r="A48" i="1"/>
  <c r="J48" i="1"/>
  <c r="G48" i="1"/>
  <c r="D48" i="1"/>
  <c r="P45" i="1"/>
  <c r="M45" i="1"/>
  <c r="J45" i="1"/>
  <c r="G45" i="1"/>
  <c r="D45" i="1"/>
  <c r="A45" i="1"/>
  <c r="S41" i="1"/>
  <c r="P41" i="1"/>
  <c r="M41" i="1"/>
  <c r="J41" i="1"/>
  <c r="G41" i="1"/>
  <c r="D41" i="1"/>
  <c r="A41" i="1"/>
  <c r="S38" i="1"/>
  <c r="P38" i="1"/>
  <c r="M38" i="1"/>
  <c r="J38" i="1"/>
  <c r="G38" i="1"/>
  <c r="D38" i="1"/>
  <c r="A38" i="1"/>
  <c r="M35" i="1"/>
  <c r="S35" i="1"/>
  <c r="P35" i="1"/>
  <c r="J35" i="1"/>
  <c r="G35" i="1"/>
  <c r="D35" i="1"/>
  <c r="A35" i="1"/>
  <c r="S32" i="1"/>
  <c r="P32" i="1"/>
  <c r="M32" i="1"/>
  <c r="J32" i="1"/>
  <c r="G32" i="1"/>
  <c r="D32" i="1"/>
  <c r="A32" i="1"/>
  <c r="S29" i="1"/>
  <c r="P29" i="1"/>
  <c r="M29" i="1"/>
  <c r="J29" i="1"/>
  <c r="G29" i="1"/>
  <c r="D29" i="1"/>
  <c r="A29" i="1"/>
  <c r="S26" i="1"/>
  <c r="P26" i="1"/>
  <c r="M26" i="1"/>
  <c r="J26" i="1"/>
  <c r="G26" i="1"/>
  <c r="D26" i="1"/>
  <c r="A26" i="1"/>
  <c r="S23" i="1"/>
  <c r="P23" i="1"/>
  <c r="M23" i="1"/>
  <c r="J23" i="1"/>
  <c r="G23" i="1"/>
  <c r="D23" i="1"/>
  <c r="A23" i="1"/>
  <c r="S20" i="1"/>
  <c r="P20" i="1"/>
  <c r="M20" i="1"/>
  <c r="J20" i="1"/>
  <c r="G20" i="1"/>
  <c r="D20" i="1"/>
  <c r="A20" i="1"/>
  <c r="S17" i="1"/>
  <c r="P17" i="1"/>
  <c r="M17" i="1"/>
  <c r="J17" i="1"/>
  <c r="G17" i="1"/>
  <c r="D17" i="1"/>
  <c r="A17" i="1"/>
  <c r="S14" i="1"/>
  <c r="P14" i="1"/>
  <c r="M14" i="1"/>
  <c r="J14" i="1"/>
  <c r="G14" i="1"/>
  <c r="D14" i="1"/>
  <c r="A14" i="1"/>
  <c r="S11" i="1"/>
  <c r="P11" i="1"/>
  <c r="M11" i="1"/>
  <c r="J11" i="1"/>
  <c r="G11" i="1"/>
  <c r="D11" i="1"/>
  <c r="A11" i="1"/>
  <c r="A8" i="1"/>
  <c r="S8" i="1"/>
  <c r="P8" i="1"/>
  <c r="M8" i="1"/>
  <c r="J8" i="1"/>
  <c r="G8" i="1"/>
  <c r="D8" i="1"/>
  <c r="K231" i="6" l="1"/>
  <c r="F231" i="6"/>
  <c r="P231" i="6" s="1"/>
  <c r="A231" i="6"/>
  <c r="M228" i="6"/>
  <c r="K228" i="6"/>
  <c r="H228" i="6"/>
  <c r="F228" i="6"/>
  <c r="C228" i="6"/>
  <c r="A228" i="6"/>
  <c r="P228" i="6" s="1"/>
  <c r="K225" i="6"/>
  <c r="F225" i="6"/>
  <c r="A225" i="6"/>
  <c r="P225" i="6" s="1"/>
  <c r="K222" i="6"/>
  <c r="F222" i="6"/>
  <c r="A222" i="6"/>
  <c r="P222" i="6" s="1"/>
  <c r="K219" i="6"/>
  <c r="F219" i="6"/>
  <c r="A219" i="6"/>
  <c r="P219" i="6" s="1"/>
  <c r="F216" i="6"/>
  <c r="K216" i="6"/>
  <c r="A216" i="6"/>
  <c r="P216" i="6" s="1"/>
  <c r="M213" i="6"/>
  <c r="K213" i="6"/>
  <c r="H213" i="6"/>
  <c r="F213" i="6"/>
  <c r="C213" i="6"/>
  <c r="A213" i="6"/>
  <c r="M210" i="6"/>
  <c r="K210" i="6"/>
  <c r="H210" i="6"/>
  <c r="F210" i="6"/>
  <c r="C210" i="6"/>
  <c r="A210" i="6"/>
  <c r="P210" i="6" s="1"/>
  <c r="M207" i="6"/>
  <c r="K207" i="6"/>
  <c r="H207" i="6"/>
  <c r="F207" i="6"/>
  <c r="C207" i="6"/>
  <c r="A207" i="6"/>
  <c r="P207" i="6" s="1"/>
  <c r="M204" i="6"/>
  <c r="K204" i="6"/>
  <c r="H204" i="6"/>
  <c r="F204" i="6"/>
  <c r="C204" i="6"/>
  <c r="A204" i="6"/>
  <c r="P204" i="6" s="1"/>
  <c r="K201" i="6"/>
  <c r="H201" i="6"/>
  <c r="M201" i="6"/>
  <c r="F201" i="6"/>
  <c r="C201" i="6"/>
  <c r="A201" i="6"/>
  <c r="P201" i="6" s="1"/>
  <c r="K198" i="6"/>
  <c r="M198" i="6"/>
  <c r="H198" i="6"/>
  <c r="F198" i="6"/>
  <c r="C198" i="6"/>
  <c r="A198" i="6"/>
  <c r="P198" i="6" s="1"/>
  <c r="M195" i="6"/>
  <c r="K195" i="6"/>
  <c r="H195" i="6"/>
  <c r="F195" i="6"/>
  <c r="C195" i="6"/>
  <c r="A195" i="6"/>
  <c r="P195" i="6" s="1"/>
  <c r="A192" i="6"/>
  <c r="M192" i="6"/>
  <c r="K192" i="6"/>
  <c r="H192" i="6"/>
  <c r="F192" i="6"/>
  <c r="C192" i="6"/>
  <c r="M189" i="6"/>
  <c r="K189" i="6"/>
  <c r="H189" i="6"/>
  <c r="F189" i="6"/>
  <c r="C189" i="6"/>
  <c r="A189" i="6"/>
  <c r="P189" i="6" s="1"/>
  <c r="M186" i="6"/>
  <c r="K186" i="6"/>
  <c r="H186" i="6"/>
  <c r="F186" i="6"/>
  <c r="C186" i="6"/>
  <c r="A186" i="6"/>
  <c r="P186" i="6" s="1"/>
  <c r="M183" i="6"/>
  <c r="K183" i="6"/>
  <c r="H183" i="6"/>
  <c r="F183" i="6"/>
  <c r="C183" i="6"/>
  <c r="A183" i="6"/>
  <c r="K180" i="6"/>
  <c r="M180" i="6"/>
  <c r="H180" i="6"/>
  <c r="F180" i="6"/>
  <c r="C180" i="6"/>
  <c r="A180" i="6"/>
  <c r="P192" i="6" l="1"/>
  <c r="K175" i="6"/>
  <c r="F175" i="6"/>
  <c r="A175" i="6"/>
  <c r="F172" i="6"/>
  <c r="A172" i="6"/>
  <c r="K172" i="6"/>
  <c r="K169" i="6"/>
  <c r="F169" i="6"/>
  <c r="A169" i="6"/>
  <c r="K166" i="6"/>
  <c r="F166" i="6"/>
  <c r="A166" i="6"/>
  <c r="M163" i="6"/>
  <c r="K163" i="6"/>
  <c r="H163" i="6"/>
  <c r="F163" i="6"/>
  <c r="C163" i="6"/>
  <c r="A163" i="6"/>
  <c r="M160" i="6"/>
  <c r="K160" i="6"/>
  <c r="H160" i="6"/>
  <c r="F160" i="6"/>
  <c r="C160" i="6"/>
  <c r="A160" i="6"/>
  <c r="M157" i="6"/>
  <c r="K157" i="6"/>
  <c r="H157" i="6"/>
  <c r="F157" i="6"/>
  <c r="C157" i="6"/>
  <c r="A157" i="6"/>
  <c r="M154" i="6"/>
  <c r="K154" i="6"/>
  <c r="H154" i="6"/>
  <c r="F154" i="6"/>
  <c r="C154" i="6"/>
  <c r="A154" i="6"/>
  <c r="M151" i="6"/>
  <c r="K151" i="6"/>
  <c r="H151" i="6"/>
  <c r="F151" i="6"/>
  <c r="C151" i="6"/>
  <c r="A151" i="6"/>
  <c r="M148" i="6"/>
  <c r="K148" i="6"/>
  <c r="H148" i="6"/>
  <c r="F148" i="6"/>
  <c r="C148" i="6"/>
  <c r="A148" i="6"/>
  <c r="M144" i="6"/>
  <c r="K144" i="6"/>
  <c r="H144" i="6"/>
  <c r="F144" i="6"/>
  <c r="C144" i="6"/>
  <c r="A144" i="6"/>
  <c r="M141" i="6"/>
  <c r="K141" i="6"/>
  <c r="H141" i="6"/>
  <c r="F141" i="6"/>
  <c r="C141" i="6"/>
  <c r="A141" i="6"/>
  <c r="M138" i="6"/>
  <c r="K138" i="6"/>
  <c r="H138" i="6"/>
  <c r="F138" i="6"/>
  <c r="C138" i="6"/>
  <c r="A138" i="6"/>
  <c r="M135" i="6"/>
  <c r="K135" i="6"/>
  <c r="H135" i="6"/>
  <c r="F135" i="6"/>
  <c r="C135" i="6"/>
  <c r="A135" i="6"/>
  <c r="H132" i="6"/>
  <c r="M132" i="6"/>
  <c r="K132" i="6"/>
  <c r="F132" i="6"/>
  <c r="C132" i="6"/>
  <c r="A132" i="6"/>
  <c r="M129" i="6"/>
  <c r="K129" i="6"/>
  <c r="H129" i="6"/>
  <c r="F129" i="6"/>
  <c r="C129" i="6"/>
  <c r="A129" i="6"/>
  <c r="M126" i="6"/>
  <c r="K126" i="6"/>
  <c r="H126" i="6"/>
  <c r="F126" i="6"/>
  <c r="C126" i="6"/>
  <c r="A126" i="6"/>
  <c r="A122" i="6"/>
  <c r="M122" i="6"/>
  <c r="K122" i="6"/>
  <c r="H122" i="6"/>
  <c r="F122" i="6"/>
  <c r="C122" i="6"/>
  <c r="M119" i="6"/>
  <c r="K119" i="6"/>
  <c r="H119" i="6"/>
  <c r="F119" i="6"/>
  <c r="C119" i="6"/>
  <c r="A119" i="6"/>
  <c r="M116" i="6"/>
  <c r="K116" i="6"/>
  <c r="H116" i="6"/>
  <c r="F116" i="6"/>
  <c r="C116" i="6"/>
  <c r="A116" i="6"/>
  <c r="M113" i="6"/>
  <c r="K113" i="6"/>
  <c r="H113" i="6"/>
  <c r="F113" i="6"/>
  <c r="C113" i="6"/>
  <c r="A113" i="6"/>
  <c r="M110" i="6"/>
  <c r="K110" i="6"/>
  <c r="H110" i="6"/>
  <c r="F110" i="6"/>
  <c r="C110" i="6"/>
  <c r="A110" i="6"/>
  <c r="M107" i="6"/>
  <c r="K107" i="6"/>
  <c r="H107" i="6"/>
  <c r="F107" i="6"/>
  <c r="C107" i="6"/>
  <c r="P107" i="6" s="1"/>
  <c r="A107" i="6"/>
  <c r="M104" i="6"/>
  <c r="K104" i="6"/>
  <c r="H104" i="6"/>
  <c r="F104" i="6"/>
  <c r="C104" i="6"/>
  <c r="A104" i="6"/>
  <c r="P213" i="6"/>
  <c r="P180" i="6"/>
  <c r="P183" i="6"/>
  <c r="P110" i="6"/>
  <c r="P119" i="6"/>
  <c r="P126" i="6"/>
  <c r="P132" i="6"/>
  <c r="P135" i="6"/>
  <c r="P141" i="6"/>
  <c r="P148" i="6"/>
  <c r="P157" i="6"/>
  <c r="P160" i="6"/>
  <c r="P166" i="6"/>
  <c r="P169" i="6"/>
  <c r="M99" i="6"/>
  <c r="K99" i="6"/>
  <c r="I99" i="6"/>
  <c r="G99" i="6"/>
  <c r="E99" i="6"/>
  <c r="C99" i="6"/>
  <c r="A99" i="6"/>
  <c r="M96" i="6"/>
  <c r="K96" i="6"/>
  <c r="I96" i="6"/>
  <c r="G96" i="6"/>
  <c r="E96" i="6"/>
  <c r="C96" i="6"/>
  <c r="A96" i="6"/>
  <c r="P96" i="6" s="1"/>
  <c r="K93" i="6"/>
  <c r="I93" i="6"/>
  <c r="G93" i="6"/>
  <c r="M93" i="6"/>
  <c r="E93" i="6"/>
  <c r="C93" i="6"/>
  <c r="A93" i="6"/>
  <c r="M90" i="6"/>
  <c r="K90" i="6"/>
  <c r="I90" i="6"/>
  <c r="G90" i="6"/>
  <c r="E90" i="6"/>
  <c r="C90" i="6"/>
  <c r="A90" i="6"/>
  <c r="M87" i="6"/>
  <c r="K87" i="6"/>
  <c r="I87" i="6"/>
  <c r="G87" i="6"/>
  <c r="E87" i="6"/>
  <c r="C87" i="6"/>
  <c r="A87" i="6"/>
  <c r="M84" i="6"/>
  <c r="K84" i="6"/>
  <c r="I84" i="6"/>
  <c r="G84" i="6"/>
  <c r="E84" i="6"/>
  <c r="C84" i="6"/>
  <c r="P84" i="6" s="1"/>
  <c r="A84" i="6"/>
  <c r="M81" i="6"/>
  <c r="K81" i="6"/>
  <c r="I81" i="6"/>
  <c r="G81" i="6"/>
  <c r="E81" i="6"/>
  <c r="C81" i="6"/>
  <c r="A81" i="6"/>
  <c r="P99" i="6"/>
  <c r="P93" i="6"/>
  <c r="P81" i="6"/>
  <c r="M74" i="6"/>
  <c r="K74" i="6"/>
  <c r="H74" i="6"/>
  <c r="F74" i="6"/>
  <c r="C74" i="6"/>
  <c r="A74" i="6"/>
  <c r="M71" i="6"/>
  <c r="K71" i="6"/>
  <c r="H71" i="6"/>
  <c r="F71" i="6"/>
  <c r="C71" i="6"/>
  <c r="A71" i="6"/>
  <c r="M68" i="6"/>
  <c r="K68" i="6"/>
  <c r="H68" i="6"/>
  <c r="F68" i="6"/>
  <c r="C68" i="6"/>
  <c r="A68" i="6"/>
  <c r="M65" i="6"/>
  <c r="K65" i="6"/>
  <c r="H65" i="6"/>
  <c r="F65" i="6"/>
  <c r="C65" i="6"/>
  <c r="A65" i="6"/>
  <c r="P65" i="6" s="1"/>
  <c r="M62" i="6"/>
  <c r="K62" i="6"/>
  <c r="H62" i="6"/>
  <c r="F62" i="6"/>
  <c r="C62" i="6"/>
  <c r="A62" i="6"/>
  <c r="M59" i="6"/>
  <c r="K59" i="6"/>
  <c r="H59" i="6"/>
  <c r="F59" i="6"/>
  <c r="C59" i="6"/>
  <c r="A59" i="6"/>
  <c r="P104" i="6" l="1"/>
  <c r="P113" i="6"/>
  <c r="P116" i="6"/>
  <c r="P129" i="6"/>
  <c r="P138" i="6"/>
  <c r="P151" i="6"/>
  <c r="P154" i="6"/>
  <c r="P163" i="6"/>
  <c r="P172" i="6"/>
  <c r="P90" i="6"/>
  <c r="P144" i="6"/>
  <c r="P122" i="6"/>
  <c r="P87" i="6"/>
  <c r="P74" i="6"/>
  <c r="P71" i="6"/>
  <c r="P68" i="6"/>
  <c r="P62" i="6"/>
  <c r="P59" i="6"/>
  <c r="H54" i="6"/>
  <c r="M54" i="6"/>
  <c r="K54" i="6"/>
  <c r="F54" i="6"/>
  <c r="C54" i="6"/>
  <c r="A54" i="6"/>
  <c r="M51" i="6"/>
  <c r="K51" i="6"/>
  <c r="H51" i="6"/>
  <c r="F51" i="6"/>
  <c r="C51" i="6"/>
  <c r="A51" i="6"/>
  <c r="A48" i="6"/>
  <c r="M48" i="6"/>
  <c r="K48" i="6"/>
  <c r="H48" i="6"/>
  <c r="F48" i="6"/>
  <c r="C48" i="6"/>
  <c r="P54" i="6"/>
  <c r="P51" i="6"/>
  <c r="P48" i="6"/>
  <c r="M41" i="6"/>
  <c r="K41" i="6"/>
  <c r="I41" i="6"/>
  <c r="G41" i="6"/>
  <c r="E41" i="6"/>
  <c r="C41" i="6"/>
  <c r="A41" i="6"/>
  <c r="I38" i="6"/>
  <c r="M38" i="6"/>
  <c r="K38" i="6"/>
  <c r="G38" i="6"/>
  <c r="E38" i="6"/>
  <c r="C38" i="6"/>
  <c r="A38" i="6"/>
  <c r="K35" i="6"/>
  <c r="I35" i="6"/>
  <c r="M35" i="6"/>
  <c r="G35" i="6"/>
  <c r="E35" i="6"/>
  <c r="C35" i="6"/>
  <c r="A35" i="6"/>
  <c r="P35" i="6" s="1"/>
  <c r="M32" i="6"/>
  <c r="K32" i="6"/>
  <c r="I32" i="6"/>
  <c r="G32" i="6"/>
  <c r="E32" i="6"/>
  <c r="C32" i="6"/>
  <c r="A32" i="6"/>
  <c r="M29" i="6"/>
  <c r="K29" i="6"/>
  <c r="I29" i="6"/>
  <c r="G29" i="6"/>
  <c r="E29" i="6"/>
  <c r="C29" i="6"/>
  <c r="P32" i="6"/>
  <c r="P38" i="6"/>
  <c r="P41" i="6"/>
  <c r="A29" i="6"/>
  <c r="P29" i="6" s="1"/>
  <c r="M24" i="6"/>
  <c r="J24" i="6"/>
  <c r="G24" i="6"/>
  <c r="D24" i="6"/>
  <c r="A24" i="6"/>
  <c r="P24" i="6" s="1"/>
  <c r="M21" i="6"/>
  <c r="I21" i="6"/>
  <c r="D21" i="6"/>
  <c r="A21" i="6"/>
  <c r="N17" i="6"/>
  <c r="K17" i="6"/>
  <c r="I17" i="6"/>
  <c r="F17" i="6"/>
  <c r="D17" i="6"/>
  <c r="A17" i="6"/>
  <c r="M14" i="6"/>
  <c r="J14" i="6"/>
  <c r="G14" i="6"/>
  <c r="D14" i="6"/>
  <c r="A14" i="6"/>
  <c r="K9" i="6"/>
  <c r="F9" i="6"/>
  <c r="A9" i="6" l="1"/>
  <c r="P175" i="6" l="1"/>
  <c r="P14" i="6"/>
  <c r="P17" i="6"/>
  <c r="P21" i="6"/>
  <c r="P9" i="6"/>
  <c r="P15" i="5" l="1"/>
  <c r="T8" i="1" l="1"/>
  <c r="T63" i="1" l="1"/>
  <c r="T73" i="1" l="1"/>
  <c r="T70" i="1"/>
  <c r="T67" i="1"/>
  <c r="T51" i="1"/>
  <c r="T48" i="1" l="1"/>
  <c r="T45" i="1" l="1"/>
  <c r="T41" i="1"/>
  <c r="T38" i="1"/>
  <c r="T35" i="1"/>
  <c r="T32" i="1"/>
  <c r="T26" i="1"/>
  <c r="T23" i="1"/>
  <c r="T20" i="1"/>
  <c r="T14" i="1"/>
  <c r="T11" i="1"/>
  <c r="P34" i="5"/>
  <c r="T17" i="1" l="1"/>
  <c r="T29" i="1"/>
  <c r="P7" i="4"/>
  <c r="P12" i="4"/>
  <c r="P15" i="4"/>
  <c r="P19" i="4"/>
  <c r="P22" i="4"/>
  <c r="P25" i="4"/>
  <c r="P28" i="4"/>
  <c r="P31" i="4"/>
  <c r="P34" i="4"/>
  <c r="P39" i="4"/>
  <c r="P45" i="4"/>
  <c r="P48" i="4"/>
  <c r="T76" i="1" l="1"/>
  <c r="P84" i="5"/>
  <c r="P81" i="5"/>
  <c r="P31" i="5"/>
  <c r="P28" i="5"/>
  <c r="P25" i="5"/>
  <c r="P22" i="5"/>
  <c r="P19" i="5"/>
  <c r="P12" i="5"/>
  <c r="P57" i="5" l="1"/>
  <c r="P60" i="5"/>
  <c r="P63" i="5"/>
  <c r="P66" i="5"/>
  <c r="P69" i="5"/>
  <c r="P78" i="5"/>
  <c r="P7" i="5"/>
</calcChain>
</file>

<file path=xl/comments1.xml><?xml version="1.0" encoding="utf-8"?>
<comments xmlns="http://schemas.openxmlformats.org/spreadsheetml/2006/main">
  <authors>
    <author>Author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BROJ POPUNJENIH ODGOVORA NA MOM UPITNIKU GDE ISPISUJEM/BR.UPITNIKA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BROJ POPUNJENIH ODGOVORA NA MOM UPITNIKU GDE ISPISUJEM/BR.UPITNIKA
</t>
        </r>
      </text>
    </comment>
  </commentList>
</comments>
</file>

<file path=xl/sharedStrings.xml><?xml version="1.0" encoding="utf-8"?>
<sst xmlns="http://schemas.openxmlformats.org/spreadsheetml/2006/main" count="724" uniqueCount="236">
  <si>
    <t>Без одговора</t>
  </si>
  <si>
    <t>НАПОМЕНА: ОБРАЂЕНИ ПОДАЦИ ПРИКАЗАНИ СУ У ПРОЦЕНТИМА НА НИВОУ ЦЕЛОГ ЦЕНТРА</t>
  </si>
  <si>
    <t>Да</t>
  </si>
  <si>
    <t>Не</t>
  </si>
  <si>
    <t>Коментари запослених приказани су у прилогу</t>
  </si>
  <si>
    <t>ОДСЕК ЗА ПЛАН АНАЛИЗУ И СТАТИСТИКУ</t>
  </si>
  <si>
    <t>НАПОМЕНА: ОБРАЂЕНИ ПОДАЦИ ПРИКАЗАНИ СУ У ПРОЦЕНТИМА НА НИВОУ ЦЕНТРА</t>
  </si>
  <si>
    <t>ПИТАЊЕ 1.Пол?</t>
  </si>
  <si>
    <t>Мушки</t>
  </si>
  <si>
    <t>Женски</t>
  </si>
  <si>
    <t>ПИТАЊЕ 2. Године старости ?</t>
  </si>
  <si>
    <t>ПИТАЊЕ 3. Завршена школа ?</t>
  </si>
  <si>
    <t>Основна школа</t>
  </si>
  <si>
    <t>Средња школа</t>
  </si>
  <si>
    <t>Виша и висока школа</t>
  </si>
  <si>
    <t>ПИТАЊЕ 4. Материјално стање вашег домаћинства ?</t>
  </si>
  <si>
    <t>Веома лоше</t>
  </si>
  <si>
    <t>Лоше</t>
  </si>
  <si>
    <t>Осредње</t>
  </si>
  <si>
    <t>Добро</t>
  </si>
  <si>
    <t xml:space="preserve">Веома добро </t>
  </si>
  <si>
    <t>Примљен/а сам истог дана без заказивања</t>
  </si>
  <si>
    <t>Коментари задовољства корисника специјалистичке службе су у прилогу.</t>
  </si>
  <si>
    <t>ПИТАЊЕ 2. Године старости?</t>
  </si>
  <si>
    <t>Коментари задовољства корисника болничким лечењем су у прилогу.</t>
  </si>
  <si>
    <t>Нимало</t>
  </si>
  <si>
    <t>Мало</t>
  </si>
  <si>
    <t>Умерено</t>
  </si>
  <si>
    <t>Много</t>
  </si>
  <si>
    <t>Веома много</t>
  </si>
  <si>
    <t>ПИТАЊЕ 4. Аутономијом у обављању посла-могућношћу да доносите одлуке</t>
  </si>
  <si>
    <t>Одете у иностранство</t>
  </si>
  <si>
    <t>ОПШТИ ПОДАЦИ</t>
  </si>
  <si>
    <t>ПИТАЊЕ 19. ПОЛ ?</t>
  </si>
  <si>
    <t>МУШКИ</t>
  </si>
  <si>
    <t>ЖЕНСКИ</t>
  </si>
  <si>
    <t>БЕЗ ОДОВОРА</t>
  </si>
  <si>
    <t>ПИТАЊЕ 20. ГОДИНЕ СТАРОСТИ?</t>
  </si>
  <si>
    <t xml:space="preserve">35 ДО 54 </t>
  </si>
  <si>
    <t>БЕЗ ОДГОВОРА</t>
  </si>
  <si>
    <t>ПИТАЊЕ 21. ЗАНИМАЊЕ?</t>
  </si>
  <si>
    <t>МЕДИЦИНСКА СЕСТРА/ТЕХНИЧАР</t>
  </si>
  <si>
    <t>АДМИНИСТРАТИВНИ РАДНИК</t>
  </si>
  <si>
    <t>ТЕХНИЧКИ РАДНИК</t>
  </si>
  <si>
    <t>ПИТАЊЕ 22. Да ли тренутно обављате неку од руководећих функција?</t>
  </si>
  <si>
    <t>ПИТАЊЕ 23. Да ли поред посла који обављате у Вашој установи радите и (дозвољено је заокружити више од једног одговора?</t>
  </si>
  <si>
    <t>У настави</t>
  </si>
  <si>
    <t>У приватној пракси</t>
  </si>
  <si>
    <t>У неком другом сектору</t>
  </si>
  <si>
    <t>Не радим додатно</t>
  </si>
  <si>
    <t xml:space="preserve">ДА </t>
  </si>
  <si>
    <t>НЕ</t>
  </si>
  <si>
    <t>ДА</t>
  </si>
  <si>
    <t>Непотпуна основна школа</t>
  </si>
  <si>
    <t>ПИТАЊЕ 5. Оцените оценом о 1 до 5 (где 1 значи веома лоше, а 5 одлично)следеће карактеристике које се односе на услуге и организацију здравствене заштиет током вашег болничког лечења:</t>
  </si>
  <si>
    <t>5а) Обавештења која су вам дата код пријема у болницу (право на сагласност за предложену процедуру, о дужностима пацијената на одељењу, начину приговора и жалби)</t>
  </si>
  <si>
    <t>5б) Организација и брзина пружања услуга дијагностике и терапије током боравка у болници (лабораторија, рендген, ултразвук, ЕКГ итд.)</t>
  </si>
  <si>
    <t>5в) Услуге исхране током боравка у болници (укус и разноврсност хране, одговарајући режим исхране)</t>
  </si>
  <si>
    <t>5г) Услуге смештаја током боравка у волници (опремљеност собе и удобност кревета)</t>
  </si>
  <si>
    <t>5д) Одржавање хигијене собе</t>
  </si>
  <si>
    <t>5ђ) Одржавање хигијене тоалета</t>
  </si>
  <si>
    <t>5е) Организација посета</t>
  </si>
  <si>
    <t>ПИТАЊЕ 6. Оцените оценом од 1 до 5 (где је 1 значи веома лоше, а 5 одлично) услуге сестринске неге током боравка у болници:</t>
  </si>
  <si>
    <t>6а)Поштовање и љубазност</t>
  </si>
  <si>
    <t>6б) Време чекања на сестру код хитне потребе</t>
  </si>
  <si>
    <t>6в) Објашњење процедура, тестова и третмана</t>
  </si>
  <si>
    <t>6г) Опште задовољство сестринском негом</t>
  </si>
  <si>
    <t>ПИТАЊЕ 7. Оцените 1 до 5 (где 1 значи веома лоше, а 5 одлично)услуге лекара током боравка у болници?</t>
  </si>
  <si>
    <t>7а) Спремност да дају одговоре на питања</t>
  </si>
  <si>
    <t>7б) Објашњење процедура, тестова и третмана</t>
  </si>
  <si>
    <t>7в)Поштовање и љубазност</t>
  </si>
  <si>
    <t>7г) Способност дијагностиковања здравствених проблема</t>
  </si>
  <si>
    <t>7д) Успешност лечења</t>
  </si>
  <si>
    <t>7ђ) Опште задовољство услугама лекара</t>
  </si>
  <si>
    <t>ПИТАЊЕ 8. Да ли је у вашем лечењу коришћен клинички пут?</t>
  </si>
  <si>
    <t>НЕ ЗНАМ</t>
  </si>
  <si>
    <t>ПИТАЊЕ 9. Оцените 1 до 5 ( где 1 значи веома лоше, а 5 одлично) услуге дијагностике и лечења уколико сте лечени у овој установи у вези сумње или потвршене болести КО0ВИД - 19?</t>
  </si>
  <si>
    <t>1</t>
  </si>
  <si>
    <t>6 - Не односи се на мене</t>
  </si>
  <si>
    <t>ПИТАЊЕ 10. Да ли вам је болничко лечење у овој установи (због неке друге болести, а не КОВИД-19) одложено због актуелне епидемиолошке ситуације?</t>
  </si>
  <si>
    <t>ПИТАЊЕ 11. Узимајући у обзир све наведено, на скали од 1 до 5 (где је 1 - веома незадовољан, а 5 - веома задовољан)оцените ваше укупно задовољство болничким лечењем:</t>
  </si>
  <si>
    <t>5ж) Обавештења која су вам дата код отпуста из болнице (обављена едукација вас и цаше породице - упутство о режиму исхране, личној хигијени, начину живота, издато упутство о доласку на контроле, издата отпусна листа)</t>
  </si>
  <si>
    <t>ПИТАЊЕ 5. Оцените оценом од 1 до 5 (где 1 значи веома лоше, а 5 одличпно) следеће карактеристике које се односе на ову специјалистичку службу:</t>
  </si>
  <si>
    <t>5а) Време чекања од тренутка заказивања до термина прегледа?</t>
  </si>
  <si>
    <t>5б) Време чекања у чекаоници?</t>
  </si>
  <si>
    <t>5в) Чистоћа и удобност чекаонице?</t>
  </si>
  <si>
    <t>5г) Љубазност медицинске сестре?</t>
  </si>
  <si>
    <t>5д) Љубазност лекара?</t>
  </si>
  <si>
    <t>5ђ) Време које ми је потребно током прегледа и објашњења које сам добио/ла у вези моје болести и плана лечења?</t>
  </si>
  <si>
    <r>
      <t xml:space="preserve">6. </t>
    </r>
    <r>
      <rPr>
        <b/>
        <i/>
        <u/>
        <sz val="13"/>
        <color theme="1"/>
        <rFont val="Times New Roman"/>
        <family val="1"/>
        <charset val="238"/>
      </rPr>
      <t>Колико пута сте  у последњих 12 месеци имали преглед код лекара специјалисте,  укључујући и овај пут?</t>
    </r>
  </si>
  <si>
    <r>
      <t xml:space="preserve">7. </t>
    </r>
    <r>
      <rPr>
        <b/>
        <i/>
        <u/>
        <sz val="13"/>
        <color theme="1"/>
        <rFont val="Times New Roman"/>
        <family val="1"/>
        <charset val="238"/>
      </rPr>
      <t>Колико дуго сте чекали на овај преглед?</t>
    </r>
  </si>
  <si>
    <t>Више од 30 дана</t>
  </si>
  <si>
    <t>Мање од 15 дана</t>
  </si>
  <si>
    <t>Од 15-30 дана</t>
  </si>
  <si>
    <t>8. Оцените оценом од 1 до 5 (где 1 значи веома лоше, а 5 одлично) услуге дијагностике и лечења у овој установи у вези сумње или потврђене болести КОВИД-19 ?</t>
  </si>
  <si>
    <t>9. Да ли је епидемија КОВИД - 19  утицала на одлагање/отказивање прегледа и/или лечење у овој служби ?</t>
  </si>
  <si>
    <t>НЕ ЗНАМ/НЕ СЕЂАМ СЕ</t>
  </si>
  <si>
    <t>10. Узимајући у обзир све наведено, на скали од 1 до 5 (где је 1 - веома незадовољанн, а 5 - веома задовољан) оцените ваше укупно задовољство овом специјалистичком службом?</t>
  </si>
  <si>
    <t>ПИТАЊЕ 5. Да ли је дијализни центар у коме се тренутно дијализирате (заокружите оно што одговара у моменту попуњавања упитника):</t>
  </si>
  <si>
    <t>А) У вашој матичној установи</t>
  </si>
  <si>
    <t>Б) У другој здравственој установи у коју сте послати из ваше матичне установе због постављања венског катетера/АВ фистуле или пратећих обољења</t>
  </si>
  <si>
    <t>В) У другој здравственој установи у коју сте послати због реорганизације услед епидемиолошке ситуације изазване КОВИДОМ - 19</t>
  </si>
  <si>
    <t>ПИТАЊЕ 6. Коју врсту транспорта користите за долазак у  центар за дијализу ?</t>
  </si>
  <si>
    <t>а) Приватни аутомобил (возач, путник) /Аутобус/Такси/Волонтерски возач</t>
  </si>
  <si>
    <t>б) Организовани транспорт здравствене установе у којој је дијализни центар</t>
  </si>
  <si>
    <t>в) Организовани транспорт друге здравствене установе</t>
  </si>
  <si>
    <t>г) Остало: _________</t>
  </si>
  <si>
    <t>б) Простор за одмор</t>
  </si>
  <si>
    <t>д) Ниво буке</t>
  </si>
  <si>
    <t>6-Не односи се на мене</t>
  </si>
  <si>
    <t>ПИТАЊЕ 2. Адекватност простора за рад</t>
  </si>
  <si>
    <t xml:space="preserve">ПИТАЊЕ 3. Расположивим временом за рад </t>
  </si>
  <si>
    <t>ПИТАЊЕ 5. Уважавање и вредновање вашег рада од стране претпостављених</t>
  </si>
  <si>
    <t>ПИТАЊЕ 6. Непосредна сарадња са колегама</t>
  </si>
  <si>
    <t>ПИТАЊЕ 7.  Однос пацијената према вама</t>
  </si>
  <si>
    <t>ПИТАЊЕ 8. Могућност за професионални разворј/континуирану едукацију</t>
  </si>
  <si>
    <t>ПИТАЊЕ 9. Финансијском надокнадом за рад</t>
  </si>
  <si>
    <t>ПИТАЊЕ 10. Руковођењем и организацијом рада у установи</t>
  </si>
  <si>
    <t>ПИТАЊЕ 11. Одржавање адекватних хигијенских услова за рад у складу са мерама превенције болничких инфекција</t>
  </si>
  <si>
    <t>ПИТАЊЕ 12. Спровођење адекватних мера за спречавање и констоу ширења КОВИД-19 инфекције?</t>
  </si>
  <si>
    <t>ПИТАЊЕ 13. Колико сте приликом обављања посла у редовним условима напети, под стресом или притиском?</t>
  </si>
  <si>
    <t>ПИТАЊЕ 14.Колико сте приликом обављања посла у условима епидемије КОВИД -19 напети, под стресом или притиском?</t>
  </si>
  <si>
    <t>ПИТАЊЕ 16. Шта је од наведеног, по вама највећи изазов рада у условима епидемије КОВИД-19?</t>
  </si>
  <si>
    <t>(Дозвољено је заокружити више од једног одговора=</t>
  </si>
  <si>
    <t>Рад у потпуно новим условима</t>
  </si>
  <si>
    <t>Исцрпњеност због обима посла</t>
  </si>
  <si>
    <t>Исцрпљеност због рада под заштитном опремом</t>
  </si>
  <si>
    <t>Расположивост заштитне опреме</t>
  </si>
  <si>
    <t>Доступност информација</t>
  </si>
  <si>
    <t>Неизвесност и страх од заразе</t>
  </si>
  <si>
    <t>Суочавање са искуствима пацијената</t>
  </si>
  <si>
    <t>ПИТАЊЕ 17. Ако размишљате о промени посла у наредних пет година, да ли планирате да:?</t>
  </si>
  <si>
    <t>Одете у приватни сектор здравства</t>
  </si>
  <si>
    <t>Не размишљате о промени посла</t>
  </si>
  <si>
    <t>ПИТАЊЕ 18. Узимајући све наведемо у обзир, молимо вас да на скали од 1 до 5 (где 1 значиу веома незадовољан, а 5 веома задовољан)оцените укупно задовољство послом који сада обављате?</t>
  </si>
  <si>
    <t>ДО 34</t>
  </si>
  <si>
    <t>55 И ВИШЕ</t>
  </si>
  <si>
    <t>ДОКТОР МЕДИЦИНЕ</t>
  </si>
  <si>
    <t>ДОКТОР СТОМАТОЛОГИЈЕ</t>
  </si>
  <si>
    <t>МАГИСТАР ФАРМАЦИЈЕ</t>
  </si>
  <si>
    <t>ЗДРАВСТВЕНИ САРАДНИЦИ</t>
  </si>
  <si>
    <t>ПИТАЊЕ 9. Оцените оценом од 1 до 5 (где 1 значи веома лоше, а 5 одлично) услове у погледу термина које имате на располагању за дијализу?</t>
  </si>
  <si>
    <t>а) Радно време дијализног центра</t>
  </si>
  <si>
    <t>в) Могућност да бирате периоде током дана (смену) који Вам одговарају за дијализу</t>
  </si>
  <si>
    <t>ПИТАЊЕ 10. Оцените оценом од 1 до 5 (где 1 значи веома лоше, а 5 одлично)услове у погледу термина које имате на располагању за дијализу?</t>
  </si>
  <si>
    <t>ПИТАЊЕ 1. Оцените оценом од 1 до 5 (где 1 значи веома лоше, а 5 одлично) следеће карактеристике које се односе на ваше радно место ?</t>
  </si>
  <si>
    <t xml:space="preserve">ПИТАЊЕ 1. Адекватношћу опреме за рад </t>
  </si>
  <si>
    <t>ИЗЛОЖЕНОСТ СТРЕСУ</t>
  </si>
  <si>
    <t>ПИТАЊЕ 15. Да ли сте радили или радите у КОВИД зони?</t>
  </si>
  <si>
    <t>ПИТАЊЕ 17.  Оцените оценом од 1 до 5 (где 1 значи веома лоше, а 5 одлично) колико сте задовољни?</t>
  </si>
  <si>
    <t>а) Инсталацијама у фотељи или дијализној постељи</t>
  </si>
  <si>
    <t>в) Лаганим оброком који Вам се послужује</t>
  </si>
  <si>
    <t>д) Условима у чекаоници (клима/грејање)</t>
  </si>
  <si>
    <t>О ВАШИМ ХЕМОДИЈАЛИЗАМА</t>
  </si>
  <si>
    <t>ПИТАЊЕ 18. Оцените оценом од 1 до 5 (где 1 значи веома лоше, а 5 одлично) услуге сестринске неге током дијализе?</t>
  </si>
  <si>
    <t>а) Време које Вам посвети за слушање</t>
  </si>
  <si>
    <t>б) Хитно одазивање на Ваш позив</t>
  </si>
  <si>
    <t>в) Могућност да постављате питања</t>
  </si>
  <si>
    <t>г) Пажња која се посвећује Вашој болести</t>
  </si>
  <si>
    <t>д) Пажња која се посвећује вашем болу</t>
  </si>
  <si>
    <t>ђ) Пажња посвећена Вашем мишљењу</t>
  </si>
  <si>
    <t>е) Остали елементи_________</t>
  </si>
  <si>
    <t>ПИТАЊЕ 20. Оцените оценом од 1 до 5 (где 1значи веома лоше, а 5 одлично) следеће аспекте пружања услуге дијализе?</t>
  </si>
  <si>
    <t>а) Ваше учешће у доношењу одлука о свом лечењу</t>
  </si>
  <si>
    <t>б) Учесталост лекарских прегледа</t>
  </si>
  <si>
    <t>в) Могућност добијања личних консултација када то желите</t>
  </si>
  <si>
    <t>г) Поштовање Ваше интиме током дијалилзе и/или клиничког прегледа</t>
  </si>
  <si>
    <t>д) Могућност да приступите својој медицинској документацији када то желите</t>
  </si>
  <si>
    <t>ђ) Поштовање процедуреа за пружање безбедних поступака дијализе</t>
  </si>
  <si>
    <t>ПИТАЊЕ 26. Да ли добро подносите дијализу (нема грчева, пада крвног притиска и умора)?</t>
  </si>
  <si>
    <t>ПИТАЊЕ 27. Да ли се придржавае савета лекара у вези са дијетом и уносом течности?</t>
  </si>
  <si>
    <t>ПИТАЊЕ 28. Да ли редовно узимате лекове?</t>
  </si>
  <si>
    <t>ПИТАЊЕ 29. Да ли скраћујете/прескачете време које је одређено за дијализу?</t>
  </si>
  <si>
    <t>ПИТАЊЕ 30. Оцените оценом од 1 до 5 (где 1 значи веома лоше, а 5 одлично) колико сте задовољни информацијама које ст добили пре почетка терапије дијализом?</t>
  </si>
  <si>
    <t>Напомена: (није примењиво) означава да информацију нисте добили</t>
  </si>
  <si>
    <t>а) О могућностима дијализе (перитонеална дијализа, хемодијализа и трансплантација)</t>
  </si>
  <si>
    <t>б) О току Ваше дијализе</t>
  </si>
  <si>
    <t>в) О могућим компликацијама Ваше дијализе?</t>
  </si>
  <si>
    <t>г) О Вашем здравственом проблему и Вашем третману које су дате вашој породици</t>
  </si>
  <si>
    <t>д) О терапији лековима</t>
  </si>
  <si>
    <t>ђ) О могућим компликацијама терапије лековима</t>
  </si>
  <si>
    <t>е) Начином како Вам се преносе информације о резултатима Ваших лабораторијских тестова</t>
  </si>
  <si>
    <t>ж) Начином како Вам се преносе информације о Вашем здравственом стању (нпр. Дискретно, да нико не слуша, довољно јасно)</t>
  </si>
  <si>
    <t>к) О лековима које се финансирају из средства обавезног здравственог осигурања</t>
  </si>
  <si>
    <t>ПИТАЊЕ 31. Да ли  сте били у ситуацији да морате да из сопствених средства набавите неки лек који узимате због дијализе?</t>
  </si>
  <si>
    <t>ПИТАЊЕ 32. Да ли  Вам је тај лек препоручен од лекара који прати Ваше лечење у дијализном центру?</t>
  </si>
  <si>
    <t>ПИТАЊЕ 35. Узимајући у обзир све наведено на скали од 1 до 5 (где је 1 - веома незадовољан, а 5 - веома задовољан) оцените колико сте генерално задовољни дијализом у Вашем дијализном центру:?</t>
  </si>
  <si>
    <t>ПИТАЊЕ 33. Да ли сте морали да одустанете од узимања неког лека због његове цене?</t>
  </si>
  <si>
    <t>ПИТАЊЕ 34. Да ли знате кога да контактирате у случају хитне потребе, када сте ван дијализног центра?</t>
  </si>
  <si>
    <t xml:space="preserve">ПИТАЊЕ 36. Да ли  би сте препоручили Ваш центар за дијализу особи која пати од исте болести? </t>
  </si>
  <si>
    <t>ПИТАЊЕ 37.  Како мислите да може да се унапреди/побољша пружање дијализе у Вашем дијализном центру?</t>
  </si>
  <si>
    <t>ОБРАЂЕНИ УПИТНИК О ЗАДОВОЉСТВУ КОРИСНИКА РАДОМ СПЕЦИЈАЛИСТИЧКЕ СЛУЖБЕ ( 2021  ГОДИНА)</t>
  </si>
  <si>
    <t>НАПОМЕНА: УПИТНИК ЈЕ ПОСЛАТ ОД СТРАНЕ МИНИСТАРСТВА ЗДРАВЉА И БАТУТА СА ГРЕШКОМ У ВИДУ ПОГРЕШНИХ РЕДНИХ ПИТАЊА. ТАКО ИЗГЛЕДА КАО ДА НЕДОСТАЈУ ПИТАЊА ИЗМЕЂУ 10. И 17.ПИТАЊА , КАО И ИЗМЕЂУ 20 . И 26. ПИТАЊА. КОНТАКТИРАЛИ СМО ГРАДСКИ ЗАВОД А ОНИ СУ КОНТАКТИРАЛИ БАТУТ И ОДГОВОР ЈЕ ДА СЕ УПИТНИЦИ РАДЕ ТАКО СА ГРЕШКОМ ЈЕР ЋЕ СЕ И У БАЗУ ОДНОСНО ЈАВНИ СЕРВИС КОЈИ ЈЕ ПО ПРВИ ПУТ ОВЕ ГОДИНЕ УВЕДЕН УБАЦИВАТИ ПОДАЦИ ПОД ТАКО ПОГРЕШНИМ РЕДНИМ БРОЈЕВИМА.</t>
  </si>
  <si>
    <t>О ВАШЕМ ЦЕНТРУ ЗА ДИЈАЛИЗУ</t>
  </si>
  <si>
    <t>ПИТАЊЕ 7.  Оцените оценом од 1 до 5 ( где 1 значи веома лоше, а 5 одлично) услове превоза/тренспорта до и од дијализног центра?</t>
  </si>
  <si>
    <t>а) Врста  превоза/тренспорта  коју користсите</t>
  </si>
  <si>
    <t>ОЦЕНА 1</t>
  </si>
  <si>
    <t>ОЦЕНА 2</t>
  </si>
  <si>
    <t>ОЦЕНА 3</t>
  </si>
  <si>
    <t>ОЦЕНА 4</t>
  </si>
  <si>
    <t>ОЦЕНА 5</t>
  </si>
  <si>
    <t>Напомена: Н/П (није примењиво) означава да у Вашем дијализном центру не постоји нпр. лифт и слично</t>
  </si>
  <si>
    <t>б) Време које проведете у превозу од куће до дијализног центра</t>
  </si>
  <si>
    <t>в) Услови на паркинг простору</t>
  </si>
  <si>
    <t>г) Приступ лифту</t>
  </si>
  <si>
    <t>д) Приступ и опрема уколико Вам је потребна помоћ за кретање (нпр. колица)</t>
  </si>
  <si>
    <t>ОЦЕНА 6 Н/П</t>
  </si>
  <si>
    <t>УСЛОВИ У ПОГЛЕДУ ПРОСТОРА ТОКОМ ДИЈАЛИЗЕ</t>
  </si>
  <si>
    <t>б) Могућност да бирате дане који Вaм одговарају за дијализу</t>
  </si>
  <si>
    <t>a) Расположиви простор</t>
  </si>
  <si>
    <t>г) Псветљење просторије</t>
  </si>
  <si>
    <t>ђ) Други аспект (наведите шта): ___________________________________</t>
  </si>
  <si>
    <t>Напомена: Н/П (није примењиво) означава да у Вашем дијализном центру не постоји нпр. гардероба/туш или сл.</t>
  </si>
  <si>
    <t>б) Маћомп, да се забавите током поступака дијализе (ТВ, часописа итд.)</t>
  </si>
  <si>
    <t>г) Приступом гаредоби (тушеви)</t>
  </si>
  <si>
    <t>ђ) Условима у гардероби</t>
  </si>
  <si>
    <t>е) Условима у тоалету</t>
  </si>
  <si>
    <t>ј) Које добијате о сексуалном животу</t>
  </si>
  <si>
    <t>и) Које добијате о физичким активностима у последњих месец дана</t>
  </si>
  <si>
    <t>з) Које добијате о о граничењима у исхрани</t>
  </si>
  <si>
    <t>ПИТАЊЕ 19. Оцените оценом од 1 до 5 (где 1значи веома лоше, а 5 одлично) услуге лекара током дијализе?</t>
  </si>
  <si>
    <r>
      <t>Просечан број година старости  пацијената који су попуњавали овај упитник је</t>
    </r>
    <r>
      <rPr>
        <b/>
        <u/>
        <sz val="13"/>
        <color theme="1"/>
        <rFont val="Times New Roman"/>
        <family val="1"/>
        <charset val="238"/>
      </rPr>
      <t xml:space="preserve">   62   </t>
    </r>
    <r>
      <rPr>
        <sz val="13"/>
        <color theme="1"/>
        <rFont val="Times New Roman"/>
        <family val="1"/>
        <charset val="238"/>
      </rPr>
      <t xml:space="preserve">   година</t>
    </r>
  </si>
  <si>
    <t>ПИТАЊЕ 8. Време које обично проведете у превозу од куће до дијализног центра је _35__минута?</t>
  </si>
  <si>
    <t>в) Теmпература просторије</t>
  </si>
  <si>
    <t>НАВЕДЕНО ЈЕ У ТЕКСТУАЛНОМ ДЕЛУ ДА НЕМА ЧИСТЕ ПОСТЕЉИНЕ</t>
  </si>
  <si>
    <t>НАПОМЕНА: У УПИТНИКУ ЈЕ ГРЕШКА ПА СУ ИЗА 10-ОГ ПИТАЊА СТАВИЛИ ПИТАЊЕ 17.</t>
  </si>
  <si>
    <t>У прилогу су одговори на питање 37</t>
  </si>
  <si>
    <t>Са одговором</t>
  </si>
  <si>
    <r>
      <t xml:space="preserve">Просечан број година старости  пацијената који су попуњавали овај упитник је   </t>
    </r>
    <r>
      <rPr>
        <u/>
        <sz val="13"/>
        <color theme="1"/>
        <rFont val="Times New Roman"/>
        <family val="1"/>
        <charset val="238"/>
      </rPr>
      <t xml:space="preserve">  </t>
    </r>
    <r>
      <rPr>
        <b/>
        <u/>
        <sz val="13"/>
        <color theme="1"/>
        <rFont val="Times New Roman"/>
        <family val="1"/>
        <charset val="238"/>
      </rPr>
      <t xml:space="preserve">54   </t>
    </r>
    <r>
      <rPr>
        <sz val="13"/>
        <color theme="1"/>
        <rFont val="Times New Roman"/>
        <family val="1"/>
        <charset val="238"/>
      </rPr>
      <t xml:space="preserve">  година</t>
    </r>
  </si>
  <si>
    <r>
      <t xml:space="preserve">Просечан број година старости  пацијената који су попуњавали овај упитник је  </t>
    </r>
    <r>
      <rPr>
        <b/>
        <sz val="13"/>
        <color theme="1"/>
        <rFont val="Times New Roman"/>
        <family val="1"/>
        <charset val="238"/>
      </rPr>
      <t xml:space="preserve">57 </t>
    </r>
    <r>
      <rPr>
        <sz val="13"/>
        <color theme="1"/>
        <rFont val="Times New Roman"/>
        <family val="1"/>
        <charset val="238"/>
      </rPr>
      <t xml:space="preserve"> година</t>
    </r>
  </si>
  <si>
    <r>
      <t xml:space="preserve">У државној здравственој установи  је </t>
    </r>
    <r>
      <rPr>
        <u/>
        <sz val="13"/>
        <color theme="1"/>
        <rFont val="Times New Roman"/>
        <family val="1"/>
        <charset val="238"/>
      </rPr>
      <t xml:space="preserve">   5   </t>
    </r>
    <r>
      <rPr>
        <sz val="13"/>
        <color theme="1"/>
        <rFont val="Times New Roman"/>
        <family val="1"/>
        <charset val="238"/>
      </rPr>
      <t xml:space="preserve">пута, у приватној пракси/установи </t>
    </r>
    <r>
      <rPr>
        <u/>
        <sz val="13"/>
        <color theme="1"/>
        <rFont val="Times New Roman"/>
        <family val="1"/>
        <charset val="238"/>
      </rPr>
      <t xml:space="preserve">   3   </t>
    </r>
    <r>
      <rPr>
        <sz val="13"/>
        <color theme="1"/>
        <rFont val="Times New Roman"/>
        <family val="1"/>
        <charset val="238"/>
      </rPr>
      <t xml:space="preserve"> пута у просеку.</t>
    </r>
  </si>
  <si>
    <t>ОБРАЂЕНИ УПИТНИК О ЗАДОВОЉСТВУ КОРИСНИКА  БОЛНИЧКИМ ЛЕЧЕЊЕМ (  2021 ГОДИНА )</t>
  </si>
  <si>
    <t>ОБРАЂЕНИ УПИТНИК О ЗАДОВОЉСТВУ ЗАПОСЛЕНИХ  ( 2021  ГОДИНА )</t>
  </si>
  <si>
    <t>ОБРАЂЕНИ УПИТНИК О ЗАДОВОЉСТВУ КОРИСНИКА   ЛЕЧЕЊА ХРОНИЧНИМ ПРОГРАМОМ ДИЈАЛИЗЕ (2021 ГОДИНА )</t>
  </si>
  <si>
    <t>Радите послове ван здравствене заштите</t>
  </si>
  <si>
    <t>КБЦ ЗЕМУН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</si>
</sst>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u/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sz val="13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u/>
      <sz val="13"/>
      <color theme="1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DEE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/>
    <xf numFmtId="0" fontId="9" fillId="0" borderId="0" xfId="0" applyFont="1"/>
    <xf numFmtId="9" fontId="2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9" fontId="2" fillId="0" borderId="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9" fillId="0" borderId="0" xfId="0" applyFont="1" applyFill="1"/>
    <xf numFmtId="0" fontId="0" fillId="0" borderId="0" xfId="0" applyFont="1"/>
    <xf numFmtId="9" fontId="2" fillId="3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9" fontId="9" fillId="3" borderId="0" xfId="0" applyNumberFormat="1" applyFont="1" applyFill="1" applyAlignment="1">
      <alignment vertical="center"/>
    </xf>
    <xf numFmtId="9" fontId="9" fillId="0" borderId="0" xfId="0" applyNumberFormat="1" applyFont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9" fontId="2" fillId="3" borderId="0" xfId="0" applyNumberFormat="1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0" applyNumberFormat="1" applyFont="1" applyFill="1" applyAlignment="1">
      <alignment vertical="center"/>
    </xf>
    <xf numFmtId="9" fontId="9" fillId="0" borderId="0" xfId="0" applyNumberFormat="1" applyFont="1"/>
    <xf numFmtId="9" fontId="9" fillId="4" borderId="0" xfId="0" applyNumberFormat="1" applyFont="1" applyFill="1" applyAlignment="1">
      <alignment vertical="center"/>
    </xf>
    <xf numFmtId="9" fontId="2" fillId="4" borderId="0" xfId="0" applyNumberFormat="1" applyFont="1" applyFill="1" applyAlignment="1">
      <alignment vertical="center"/>
    </xf>
    <xf numFmtId="9" fontId="2" fillId="0" borderId="7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justify"/>
    </xf>
    <xf numFmtId="0" fontId="12" fillId="0" borderId="3" xfId="0" applyFont="1" applyBorder="1" applyAlignment="1">
      <alignment horizontal="center" vertical="center"/>
    </xf>
    <xf numFmtId="9" fontId="9" fillId="4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9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2" fillId="8" borderId="0" xfId="0" applyNumberFormat="1" applyFont="1" applyFill="1" applyBorder="1" applyAlignment="1">
      <alignment vertical="center"/>
    </xf>
    <xf numFmtId="9" fontId="1" fillId="8" borderId="0" xfId="0" applyNumberFormat="1" applyFont="1" applyFill="1" applyBorder="1" applyAlignment="1">
      <alignment vertical="center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justify"/>
    </xf>
    <xf numFmtId="0" fontId="3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justify"/>
    </xf>
    <xf numFmtId="9" fontId="2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left"/>
    </xf>
    <xf numFmtId="0" fontId="4" fillId="8" borderId="0" xfId="0" applyFont="1" applyFill="1" applyAlignment="1">
      <alignment horizontal="center" vertical="justify"/>
    </xf>
    <xf numFmtId="0" fontId="4" fillId="8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/>
    </xf>
    <xf numFmtId="0" fontId="4" fillId="8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center" vertical="justify"/>
    </xf>
    <xf numFmtId="9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/>
    </xf>
    <xf numFmtId="0" fontId="4" fillId="11" borderId="0" xfId="0" applyFont="1" applyFill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/>
    </xf>
    <xf numFmtId="0" fontId="4" fillId="8" borderId="1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justify"/>
    </xf>
    <xf numFmtId="0" fontId="2" fillId="0" borderId="0" xfId="0" applyFont="1" applyFill="1" applyBorder="1"/>
    <xf numFmtId="0" fontId="4" fillId="8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left" vertical="center"/>
    </xf>
    <xf numFmtId="9" fontId="2" fillId="4" borderId="0" xfId="0" applyNumberFormat="1" applyFont="1" applyFill="1" applyBorder="1" applyAlignment="1">
      <alignment horizontal="center" vertical="justify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6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justify"/>
    </xf>
    <xf numFmtId="0" fontId="3" fillId="2" borderId="0" xfId="0" applyFont="1" applyFill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1" fillId="4" borderId="0" xfId="0" applyFont="1" applyFill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/>
    </xf>
    <xf numFmtId="0" fontId="3" fillId="4" borderId="0" xfId="0" applyFont="1" applyFill="1" applyAlignment="1">
      <alignment vertical="justify"/>
    </xf>
    <xf numFmtId="0" fontId="2" fillId="0" borderId="2" xfId="0" applyFont="1" applyFill="1" applyBorder="1" applyAlignment="1">
      <alignment horizontal="center" vertical="justify"/>
    </xf>
    <xf numFmtId="9" fontId="2" fillId="0" borderId="5" xfId="0" applyNumberFormat="1" applyFont="1" applyFill="1" applyBorder="1" applyAlignment="1">
      <alignment horizontal="center" vertical="justify"/>
    </xf>
    <xf numFmtId="9" fontId="2" fillId="0" borderId="6" xfId="0" applyNumberFormat="1" applyFont="1" applyFill="1" applyBorder="1" applyAlignment="1">
      <alignment horizontal="center" vertical="justify"/>
    </xf>
    <xf numFmtId="9" fontId="2" fillId="0" borderId="7" xfId="0" applyNumberFormat="1" applyFont="1" applyFill="1" applyBorder="1" applyAlignment="1">
      <alignment horizontal="center" vertical="justify"/>
    </xf>
    <xf numFmtId="0" fontId="3" fillId="4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4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9" fontId="4" fillId="5" borderId="0" xfId="0" applyNumberFormat="1" applyFont="1" applyFill="1" applyAlignment="1">
      <alignment vertical="justify"/>
    </xf>
    <xf numFmtId="0" fontId="4" fillId="6" borderId="0" xfId="0" applyFont="1" applyFill="1" applyAlignment="1">
      <alignment vertical="justify"/>
    </xf>
    <xf numFmtId="9" fontId="9" fillId="0" borderId="5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4" fillId="6" borderId="0" xfId="0" applyFont="1" applyFill="1" applyAlignment="1">
      <alignment horizontal="center" vertical="justify"/>
    </xf>
    <xf numFmtId="9" fontId="4" fillId="5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vertical="justify"/>
    </xf>
    <xf numFmtId="0" fontId="4" fillId="7" borderId="0" xfId="0" applyFont="1" applyFill="1" applyAlignment="1">
      <alignment horizontal="center"/>
    </xf>
    <xf numFmtId="9" fontId="2" fillId="0" borderId="13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/>
    </xf>
    <xf numFmtId="9" fontId="2" fillId="3" borderId="7" xfId="0" applyNumberFormat="1" applyFont="1" applyFill="1" applyBorder="1" applyAlignment="1">
      <alignment horizontal="center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9" fontId="2" fillId="0" borderId="8" xfId="0" applyNumberFormat="1" applyFont="1" applyFill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/>
    </xf>
    <xf numFmtId="0" fontId="3" fillId="9" borderId="0" xfId="0" applyFont="1" applyFill="1" applyAlignment="1">
      <alignment horizontal="center" vertical="justify"/>
    </xf>
    <xf numFmtId="0" fontId="3" fillId="9" borderId="0" xfId="0" applyFont="1" applyFill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9" fontId="3" fillId="9" borderId="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9" fontId="6" fillId="0" borderId="4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justify"/>
    </xf>
    <xf numFmtId="9" fontId="4" fillId="9" borderId="0" xfId="0" applyNumberFormat="1" applyFont="1" applyFill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9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justify"/>
    </xf>
    <xf numFmtId="0" fontId="4" fillId="8" borderId="0" xfId="0" applyFont="1" applyFill="1" applyBorder="1" applyAlignment="1">
      <alignment horizontal="left" vertical="justify"/>
    </xf>
    <xf numFmtId="0" fontId="4" fillId="8" borderId="1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justify"/>
    </xf>
    <xf numFmtId="0" fontId="2" fillId="0" borderId="2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justify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8" borderId="0" xfId="0" applyFont="1" applyFill="1" applyAlignment="1">
      <alignment horizontal="center" vertical="justify"/>
    </xf>
    <xf numFmtId="9" fontId="4" fillId="4" borderId="0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 vertical="justify"/>
    </xf>
    <xf numFmtId="0" fontId="7" fillId="0" borderId="2" xfId="0" applyFont="1" applyBorder="1" applyAlignment="1">
      <alignment vertical="justify"/>
    </xf>
    <xf numFmtId="0" fontId="7" fillId="0" borderId="3" xfId="0" applyFont="1" applyBorder="1" applyAlignment="1">
      <alignment vertical="justify"/>
    </xf>
    <xf numFmtId="0" fontId="2" fillId="0" borderId="3" xfId="0" applyFont="1" applyBorder="1" applyAlignment="1">
      <alignment vertical="justify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9" fontId="2" fillId="0" borderId="5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0" fontId="3" fillId="8" borderId="0" xfId="0" applyFont="1" applyFill="1" applyAlignment="1">
      <alignment vertical="justify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justify"/>
    </xf>
    <xf numFmtId="0" fontId="13" fillId="11" borderId="0" xfId="0" applyFont="1" applyFill="1" applyAlignment="1">
      <alignment vertical="justify"/>
    </xf>
    <xf numFmtId="9" fontId="1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89D8FF"/>
      <color rgb="FFFFE5FF"/>
      <color rgb="FFCDEEFF"/>
      <color rgb="FFA3FFED"/>
      <color rgb="FFCC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52"/>
  <sheetViews>
    <sheetView workbookViewId="0">
      <selection activeCell="C1" sqref="C1:C1048576"/>
    </sheetView>
  </sheetViews>
  <sheetFormatPr defaultRowHeight="16.5" x14ac:dyDescent="0.25"/>
  <cols>
    <col min="1" max="15" width="9.28515625" style="1" customWidth="1"/>
    <col min="16" max="16" width="9.140625" style="21" hidden="1" customWidth="1"/>
    <col min="17" max="17" width="9.140625" style="1" customWidth="1"/>
    <col min="18" max="16384" width="9.140625" style="1"/>
  </cols>
  <sheetData>
    <row r="1" spans="1:16" x14ac:dyDescent="0.25">
      <c r="A1" s="77" t="s">
        <v>235</v>
      </c>
    </row>
    <row r="2" spans="1:16" ht="17.25" x14ac:dyDescent="0.3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17.25" x14ac:dyDescent="0.3">
      <c r="A3" s="82" t="s">
        <v>191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5" spans="1:16" ht="17.25" x14ac:dyDescent="0.3">
      <c r="A5" s="83" t="s">
        <v>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6" x14ac:dyDescent="0.25">
      <c r="A6" s="84" t="s">
        <v>8</v>
      </c>
      <c r="B6" s="85"/>
      <c r="C6" s="85"/>
      <c r="D6" s="85"/>
      <c r="E6" s="85"/>
      <c r="F6" s="85" t="s">
        <v>9</v>
      </c>
      <c r="G6" s="85"/>
      <c r="H6" s="85"/>
      <c r="I6" s="85"/>
      <c r="J6" s="85"/>
      <c r="K6" s="85" t="s">
        <v>0</v>
      </c>
      <c r="L6" s="85"/>
      <c r="M6" s="85"/>
      <c r="N6" s="85"/>
      <c r="O6" s="86"/>
    </row>
    <row r="7" spans="1:16" x14ac:dyDescent="0.25">
      <c r="A7" s="87">
        <f>90/199</f>
        <v>0.45226130653266333</v>
      </c>
      <c r="B7" s="88"/>
      <c r="C7" s="88"/>
      <c r="D7" s="88"/>
      <c r="E7" s="88"/>
      <c r="F7" s="88">
        <f>109/199</f>
        <v>0.54773869346733672</v>
      </c>
      <c r="G7" s="88"/>
      <c r="H7" s="88"/>
      <c r="I7" s="88"/>
      <c r="J7" s="88"/>
      <c r="K7" s="88">
        <f>0/199</f>
        <v>0</v>
      </c>
      <c r="L7" s="88"/>
      <c r="M7" s="88"/>
      <c r="N7" s="88"/>
      <c r="O7" s="89"/>
      <c r="P7" s="22">
        <f>SUM(A7:O7)</f>
        <v>1</v>
      </c>
    </row>
    <row r="8" spans="1:16" ht="17.25" x14ac:dyDescent="0.3">
      <c r="A8" s="83" t="s">
        <v>10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23"/>
    </row>
    <row r="9" spans="1:16" ht="23.25" customHeight="1" x14ac:dyDescent="0.25">
      <c r="A9" s="90" t="s">
        <v>229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23"/>
    </row>
    <row r="10" spans="1:16" ht="17.25" x14ac:dyDescent="0.3">
      <c r="A10" s="83" t="s">
        <v>11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23"/>
    </row>
    <row r="11" spans="1:16" x14ac:dyDescent="0.25">
      <c r="A11" s="84" t="s">
        <v>53</v>
      </c>
      <c r="B11" s="85"/>
      <c r="C11" s="85"/>
      <c r="D11" s="85" t="s">
        <v>12</v>
      </c>
      <c r="E11" s="85"/>
      <c r="F11" s="85"/>
      <c r="G11" s="85" t="s">
        <v>13</v>
      </c>
      <c r="H11" s="85"/>
      <c r="I11" s="85"/>
      <c r="J11" s="85" t="s">
        <v>14</v>
      </c>
      <c r="K11" s="85"/>
      <c r="L11" s="85"/>
      <c r="M11" s="85" t="s">
        <v>0</v>
      </c>
      <c r="N11" s="85"/>
      <c r="O11" s="86"/>
      <c r="P11" s="23"/>
    </row>
    <row r="12" spans="1:16" x14ac:dyDescent="0.25">
      <c r="A12" s="87">
        <f>3/199</f>
        <v>1.507537688442211E-2</v>
      </c>
      <c r="B12" s="88"/>
      <c r="C12" s="88"/>
      <c r="D12" s="88">
        <f>34/199</f>
        <v>0.17085427135678391</v>
      </c>
      <c r="E12" s="88"/>
      <c r="F12" s="88"/>
      <c r="G12" s="88">
        <f>113/199</f>
        <v>0.56783919597989951</v>
      </c>
      <c r="H12" s="88"/>
      <c r="I12" s="88"/>
      <c r="J12" s="88">
        <f>49/199</f>
        <v>0.24623115577889448</v>
      </c>
      <c r="K12" s="88"/>
      <c r="L12" s="88"/>
      <c r="M12" s="88">
        <f>0/199</f>
        <v>0</v>
      </c>
      <c r="N12" s="88"/>
      <c r="O12" s="89"/>
      <c r="P12" s="22">
        <f t="shared" ref="P12:P39" si="0">SUM(A12:O12)</f>
        <v>1</v>
      </c>
    </row>
    <row r="13" spans="1:16" ht="17.25" x14ac:dyDescent="0.3">
      <c r="A13" s="83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</row>
    <row r="14" spans="1:16" x14ac:dyDescent="0.25">
      <c r="A14" s="93" t="s">
        <v>16</v>
      </c>
      <c r="B14" s="80"/>
      <c r="C14" s="80"/>
      <c r="D14" s="80" t="s">
        <v>17</v>
      </c>
      <c r="E14" s="80"/>
      <c r="F14" s="80" t="s">
        <v>18</v>
      </c>
      <c r="G14" s="80"/>
      <c r="H14" s="80"/>
      <c r="I14" s="80" t="s">
        <v>19</v>
      </c>
      <c r="J14" s="80"/>
      <c r="K14" s="80" t="s">
        <v>20</v>
      </c>
      <c r="L14" s="80"/>
      <c r="M14" s="80"/>
      <c r="N14" s="80" t="s">
        <v>0</v>
      </c>
      <c r="O14" s="81"/>
      <c r="P14" s="23"/>
    </row>
    <row r="15" spans="1:16" x14ac:dyDescent="0.25">
      <c r="A15" s="87">
        <f>9/199</f>
        <v>4.5226130653266333E-2</v>
      </c>
      <c r="B15" s="88"/>
      <c r="C15" s="88"/>
      <c r="D15" s="88">
        <f>21/199</f>
        <v>0.10552763819095477</v>
      </c>
      <c r="E15" s="88"/>
      <c r="F15" s="88">
        <f>92/199</f>
        <v>0.46231155778894473</v>
      </c>
      <c r="G15" s="88"/>
      <c r="H15" s="88"/>
      <c r="I15" s="88">
        <f>71/199</f>
        <v>0.35678391959798994</v>
      </c>
      <c r="J15" s="88"/>
      <c r="K15" s="88">
        <f>6/199</f>
        <v>3.015075376884422E-2</v>
      </c>
      <c r="L15" s="88"/>
      <c r="M15" s="88"/>
      <c r="N15" s="88">
        <f>0/199</f>
        <v>0</v>
      </c>
      <c r="O15" s="89"/>
      <c r="P15" s="22">
        <f t="shared" si="0"/>
        <v>1</v>
      </c>
    </row>
    <row r="16" spans="1:16" ht="37.5" customHeight="1" x14ac:dyDescent="0.25">
      <c r="A16" s="95" t="s">
        <v>82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23"/>
    </row>
    <row r="17" spans="1:16" ht="21" customHeight="1" x14ac:dyDescent="0.25">
      <c r="A17" s="91" t="s">
        <v>83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23"/>
    </row>
    <row r="18" spans="1:16" ht="32.25" customHeight="1" x14ac:dyDescent="0.25">
      <c r="A18" s="93">
        <v>1</v>
      </c>
      <c r="B18" s="80"/>
      <c r="C18" s="80"/>
      <c r="D18" s="80">
        <v>2</v>
      </c>
      <c r="E18" s="80"/>
      <c r="F18" s="81">
        <v>3</v>
      </c>
      <c r="G18" s="94"/>
      <c r="H18" s="93"/>
      <c r="I18" s="80">
        <v>4</v>
      </c>
      <c r="J18" s="80"/>
      <c r="K18" s="80">
        <v>5</v>
      </c>
      <c r="L18" s="80"/>
      <c r="M18" s="80"/>
      <c r="N18" s="80" t="s">
        <v>0</v>
      </c>
      <c r="O18" s="81"/>
      <c r="P18" s="23"/>
    </row>
    <row r="19" spans="1:16" x14ac:dyDescent="0.25">
      <c r="A19" s="87">
        <f>17/199</f>
        <v>8.5427135678391955E-2</v>
      </c>
      <c r="B19" s="88"/>
      <c r="C19" s="88"/>
      <c r="D19" s="88">
        <f>15/199</f>
        <v>7.5376884422110546E-2</v>
      </c>
      <c r="E19" s="88"/>
      <c r="F19" s="88">
        <f>39/199</f>
        <v>0.19597989949748743</v>
      </c>
      <c r="G19" s="88"/>
      <c r="H19" s="88"/>
      <c r="I19" s="88">
        <f>44/199</f>
        <v>0.22110552763819097</v>
      </c>
      <c r="J19" s="88"/>
      <c r="K19" s="88">
        <f>84/199</f>
        <v>0.42211055276381909</v>
      </c>
      <c r="L19" s="88"/>
      <c r="M19" s="88"/>
      <c r="N19" s="88">
        <f>0/199</f>
        <v>0</v>
      </c>
      <c r="O19" s="89"/>
      <c r="P19" s="22">
        <f t="shared" si="0"/>
        <v>1</v>
      </c>
    </row>
    <row r="20" spans="1:16" ht="17.25" x14ac:dyDescent="0.25">
      <c r="A20" s="91" t="s">
        <v>84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23"/>
    </row>
    <row r="21" spans="1:16" ht="33" customHeight="1" x14ac:dyDescent="0.25">
      <c r="A21" s="93">
        <v>1</v>
      </c>
      <c r="B21" s="80"/>
      <c r="C21" s="80"/>
      <c r="D21" s="80">
        <v>2</v>
      </c>
      <c r="E21" s="80"/>
      <c r="F21" s="81">
        <v>3</v>
      </c>
      <c r="G21" s="94"/>
      <c r="H21" s="93"/>
      <c r="I21" s="80">
        <v>4</v>
      </c>
      <c r="J21" s="80"/>
      <c r="K21" s="80">
        <v>5</v>
      </c>
      <c r="L21" s="80"/>
      <c r="M21" s="80"/>
      <c r="N21" s="80" t="s">
        <v>0</v>
      </c>
      <c r="O21" s="81"/>
      <c r="P21" s="23"/>
    </row>
    <row r="22" spans="1:16" x14ac:dyDescent="0.25">
      <c r="A22" s="87">
        <f>11/199</f>
        <v>5.5276381909547742E-2</v>
      </c>
      <c r="B22" s="88"/>
      <c r="C22" s="88"/>
      <c r="D22" s="88">
        <f>10/199</f>
        <v>5.0251256281407038E-2</v>
      </c>
      <c r="E22" s="88"/>
      <c r="F22" s="88">
        <f>40/199</f>
        <v>0.20100502512562815</v>
      </c>
      <c r="G22" s="88"/>
      <c r="H22" s="88"/>
      <c r="I22" s="88">
        <f>55/199</f>
        <v>0.27638190954773867</v>
      </c>
      <c r="J22" s="88"/>
      <c r="K22" s="88">
        <f>83/199</f>
        <v>0.41708542713567837</v>
      </c>
      <c r="L22" s="88"/>
      <c r="M22" s="88"/>
      <c r="N22" s="88">
        <f>0/199</f>
        <v>0</v>
      </c>
      <c r="O22" s="89"/>
      <c r="P22" s="22">
        <f t="shared" si="0"/>
        <v>1</v>
      </c>
    </row>
    <row r="23" spans="1:16" ht="17.25" x14ac:dyDescent="0.25">
      <c r="A23" s="91" t="s">
        <v>85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23"/>
    </row>
    <row r="24" spans="1:16" ht="33.75" customHeight="1" x14ac:dyDescent="0.25">
      <c r="A24" s="93">
        <v>1</v>
      </c>
      <c r="B24" s="80"/>
      <c r="C24" s="80"/>
      <c r="D24" s="80">
        <v>2</v>
      </c>
      <c r="E24" s="80"/>
      <c r="F24" s="81">
        <v>3</v>
      </c>
      <c r="G24" s="94"/>
      <c r="H24" s="93"/>
      <c r="I24" s="80">
        <v>4</v>
      </c>
      <c r="J24" s="80"/>
      <c r="K24" s="80">
        <v>5</v>
      </c>
      <c r="L24" s="80"/>
      <c r="M24" s="80"/>
      <c r="N24" s="80" t="s">
        <v>0</v>
      </c>
      <c r="O24" s="81"/>
      <c r="P24" s="23"/>
    </row>
    <row r="25" spans="1:16" x14ac:dyDescent="0.25">
      <c r="A25" s="87">
        <f>5/199</f>
        <v>2.5125628140703519E-2</v>
      </c>
      <c r="B25" s="88"/>
      <c r="C25" s="88"/>
      <c r="D25" s="88">
        <f>4/199</f>
        <v>2.0100502512562814E-2</v>
      </c>
      <c r="E25" s="88"/>
      <c r="F25" s="88">
        <f>16/199</f>
        <v>8.0402010050251257E-2</v>
      </c>
      <c r="G25" s="88"/>
      <c r="H25" s="88"/>
      <c r="I25" s="88">
        <f>36/199</f>
        <v>0.18090452261306533</v>
      </c>
      <c r="J25" s="88"/>
      <c r="K25" s="88">
        <f>137/199</f>
        <v>0.68844221105527637</v>
      </c>
      <c r="L25" s="88"/>
      <c r="M25" s="88"/>
      <c r="N25" s="88">
        <f>1/199</f>
        <v>5.0251256281407036E-3</v>
      </c>
      <c r="O25" s="89"/>
      <c r="P25" s="22">
        <f t="shared" si="0"/>
        <v>1</v>
      </c>
    </row>
    <row r="26" spans="1:16" ht="17.25" x14ac:dyDescent="0.25">
      <c r="A26" s="91" t="s">
        <v>86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23"/>
    </row>
    <row r="27" spans="1:16" ht="33" customHeight="1" x14ac:dyDescent="0.25">
      <c r="A27" s="93">
        <v>1</v>
      </c>
      <c r="B27" s="80"/>
      <c r="C27" s="80"/>
      <c r="D27" s="80">
        <v>2</v>
      </c>
      <c r="E27" s="80"/>
      <c r="F27" s="81">
        <v>3</v>
      </c>
      <c r="G27" s="94"/>
      <c r="H27" s="93"/>
      <c r="I27" s="80">
        <v>4</v>
      </c>
      <c r="J27" s="80"/>
      <c r="K27" s="80">
        <v>5</v>
      </c>
      <c r="L27" s="80"/>
      <c r="M27" s="80"/>
      <c r="N27" s="80" t="s">
        <v>0</v>
      </c>
      <c r="O27" s="81"/>
      <c r="P27" s="23"/>
    </row>
    <row r="28" spans="1:16" x14ac:dyDescent="0.25">
      <c r="A28" s="87">
        <f>4/199</f>
        <v>2.0100502512562814E-2</v>
      </c>
      <c r="B28" s="88"/>
      <c r="C28" s="88"/>
      <c r="D28" s="88">
        <f>5/199</f>
        <v>2.5125628140703519E-2</v>
      </c>
      <c r="E28" s="88"/>
      <c r="F28" s="88">
        <f>16/199</f>
        <v>8.0402010050251257E-2</v>
      </c>
      <c r="G28" s="88"/>
      <c r="H28" s="88"/>
      <c r="I28" s="88">
        <f>32/199</f>
        <v>0.16080402010050251</v>
      </c>
      <c r="J28" s="88"/>
      <c r="K28" s="88">
        <f>142/199</f>
        <v>0.71356783919597988</v>
      </c>
      <c r="L28" s="88"/>
      <c r="M28" s="88"/>
      <c r="N28" s="88">
        <f>0/199</f>
        <v>0</v>
      </c>
      <c r="O28" s="89"/>
      <c r="P28" s="22">
        <f t="shared" si="0"/>
        <v>1</v>
      </c>
    </row>
    <row r="29" spans="1:16" ht="17.25" x14ac:dyDescent="0.25">
      <c r="A29" s="91" t="s">
        <v>87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23"/>
    </row>
    <row r="30" spans="1:16" ht="33" customHeight="1" x14ac:dyDescent="0.25">
      <c r="A30" s="93">
        <v>1</v>
      </c>
      <c r="B30" s="80"/>
      <c r="C30" s="80"/>
      <c r="D30" s="80">
        <v>2</v>
      </c>
      <c r="E30" s="80"/>
      <c r="F30" s="96">
        <v>3</v>
      </c>
      <c r="G30" s="97"/>
      <c r="H30" s="98"/>
      <c r="I30" s="80">
        <v>4</v>
      </c>
      <c r="J30" s="80"/>
      <c r="K30" s="80">
        <v>5</v>
      </c>
      <c r="L30" s="80"/>
      <c r="M30" s="80"/>
      <c r="N30" s="80" t="s">
        <v>0</v>
      </c>
      <c r="O30" s="81"/>
      <c r="P30" s="23"/>
    </row>
    <row r="31" spans="1:16" x14ac:dyDescent="0.25">
      <c r="A31" s="87">
        <f>4/199</f>
        <v>2.0100502512562814E-2</v>
      </c>
      <c r="B31" s="88"/>
      <c r="C31" s="88"/>
      <c r="D31" s="88">
        <f>4/199</f>
        <v>2.0100502512562814E-2</v>
      </c>
      <c r="E31" s="88"/>
      <c r="F31" s="88">
        <f>20/199</f>
        <v>0.10050251256281408</v>
      </c>
      <c r="G31" s="88"/>
      <c r="H31" s="88"/>
      <c r="I31" s="88">
        <f>30/199</f>
        <v>0.15075376884422109</v>
      </c>
      <c r="J31" s="88"/>
      <c r="K31" s="88">
        <f>141/199</f>
        <v>0.70854271356783916</v>
      </c>
      <c r="L31" s="88"/>
      <c r="M31" s="88"/>
      <c r="N31" s="88">
        <f>0/199</f>
        <v>0</v>
      </c>
      <c r="O31" s="89"/>
      <c r="P31" s="22">
        <f t="shared" si="0"/>
        <v>1</v>
      </c>
    </row>
    <row r="32" spans="1:16" ht="17.25" x14ac:dyDescent="0.25">
      <c r="A32" s="91" t="s">
        <v>88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23"/>
    </row>
    <row r="33" spans="1:16" ht="33" customHeight="1" x14ac:dyDescent="0.25">
      <c r="A33" s="93">
        <v>1</v>
      </c>
      <c r="B33" s="80"/>
      <c r="C33" s="80"/>
      <c r="D33" s="80">
        <v>2</v>
      </c>
      <c r="E33" s="80"/>
      <c r="F33" s="81">
        <v>3</v>
      </c>
      <c r="G33" s="94"/>
      <c r="H33" s="93"/>
      <c r="I33" s="80">
        <v>4</v>
      </c>
      <c r="J33" s="80"/>
      <c r="K33" s="80">
        <v>5</v>
      </c>
      <c r="L33" s="80"/>
      <c r="M33" s="80"/>
      <c r="N33" s="80" t="s">
        <v>0</v>
      </c>
      <c r="O33" s="81"/>
      <c r="P33" s="23"/>
    </row>
    <row r="34" spans="1:16" x14ac:dyDescent="0.25">
      <c r="A34" s="87">
        <f>4/199</f>
        <v>2.0100502512562814E-2</v>
      </c>
      <c r="B34" s="88"/>
      <c r="C34" s="88"/>
      <c r="D34" s="88">
        <f>12/199</f>
        <v>6.030150753768844E-2</v>
      </c>
      <c r="E34" s="88"/>
      <c r="F34" s="88">
        <f>26/199</f>
        <v>0.1306532663316583</v>
      </c>
      <c r="G34" s="88"/>
      <c r="H34" s="88"/>
      <c r="I34" s="88">
        <f>44/199</f>
        <v>0.22110552763819097</v>
      </c>
      <c r="J34" s="88"/>
      <c r="K34" s="88">
        <f>113/199</f>
        <v>0.56783919597989951</v>
      </c>
      <c r="L34" s="88"/>
      <c r="M34" s="88"/>
      <c r="N34" s="88">
        <f>0/199</f>
        <v>0</v>
      </c>
      <c r="O34" s="89"/>
      <c r="P34" s="22">
        <f t="shared" si="0"/>
        <v>1</v>
      </c>
    </row>
    <row r="35" spans="1:16" ht="17.25" x14ac:dyDescent="0.25">
      <c r="A35" s="99" t="s">
        <v>89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23"/>
    </row>
    <row r="36" spans="1:16" ht="21.75" customHeight="1" x14ac:dyDescent="0.25">
      <c r="A36" s="90" t="s">
        <v>230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23"/>
    </row>
    <row r="37" spans="1:16" ht="17.25" x14ac:dyDescent="0.25">
      <c r="A37" s="99" t="s">
        <v>90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23"/>
    </row>
    <row r="38" spans="1:16" ht="34.5" customHeight="1" x14ac:dyDescent="0.25">
      <c r="A38" s="98" t="s">
        <v>21</v>
      </c>
      <c r="B38" s="100"/>
      <c r="C38" s="100"/>
      <c r="D38" s="80" t="s">
        <v>92</v>
      </c>
      <c r="E38" s="80"/>
      <c r="F38" s="80"/>
      <c r="G38" s="80" t="s">
        <v>93</v>
      </c>
      <c r="H38" s="80"/>
      <c r="I38" s="80"/>
      <c r="J38" s="80"/>
      <c r="K38" s="80" t="s">
        <v>91</v>
      </c>
      <c r="L38" s="80"/>
      <c r="M38" s="80"/>
      <c r="N38" s="80" t="s">
        <v>0</v>
      </c>
      <c r="O38" s="81"/>
      <c r="P38" s="23"/>
    </row>
    <row r="39" spans="1:16" ht="22.5" customHeight="1" x14ac:dyDescent="0.25">
      <c r="A39" s="87">
        <f>52/199</f>
        <v>0.2613065326633166</v>
      </c>
      <c r="B39" s="88"/>
      <c r="C39" s="88"/>
      <c r="D39" s="88">
        <f>10/199</f>
        <v>5.0251256281407038E-2</v>
      </c>
      <c r="E39" s="88"/>
      <c r="F39" s="88"/>
      <c r="G39" s="88">
        <f>55/199</f>
        <v>0.27638190954773867</v>
      </c>
      <c r="H39" s="88"/>
      <c r="I39" s="88"/>
      <c r="J39" s="88"/>
      <c r="K39" s="88">
        <f>82/199</f>
        <v>0.4120603015075377</v>
      </c>
      <c r="L39" s="88"/>
      <c r="M39" s="88"/>
      <c r="N39" s="88">
        <f>0/199</f>
        <v>0</v>
      </c>
      <c r="O39" s="89"/>
      <c r="P39" s="22">
        <f t="shared" si="0"/>
        <v>1</v>
      </c>
    </row>
    <row r="40" spans="1:16" ht="38.25" customHeight="1" x14ac:dyDescent="0.25">
      <c r="A40" s="103" t="s">
        <v>94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24"/>
    </row>
    <row r="41" spans="1:16" s="13" customFormat="1" x14ac:dyDescent="0.25">
      <c r="A41" s="104">
        <v>1</v>
      </c>
      <c r="B41" s="101"/>
      <c r="C41" s="101">
        <v>2</v>
      </c>
      <c r="D41" s="101"/>
      <c r="E41" s="101">
        <v>3</v>
      </c>
      <c r="F41" s="101"/>
      <c r="G41" s="101">
        <v>4</v>
      </c>
      <c r="H41" s="101"/>
      <c r="I41" s="101">
        <v>5</v>
      </c>
      <c r="J41" s="101"/>
      <c r="K41" s="101" t="s">
        <v>78</v>
      </c>
      <c r="L41" s="101"/>
      <c r="M41" s="101" t="s">
        <v>0</v>
      </c>
      <c r="N41" s="101"/>
      <c r="O41" s="102"/>
      <c r="P41" s="24"/>
    </row>
    <row r="42" spans="1:16" s="13" customFormat="1" x14ac:dyDescent="0.25">
      <c r="A42" s="105">
        <f>5/199</f>
        <v>2.5125628140703519E-2</v>
      </c>
      <c r="B42" s="106"/>
      <c r="C42" s="106">
        <f>2/199</f>
        <v>1.0050251256281407E-2</v>
      </c>
      <c r="D42" s="106"/>
      <c r="E42" s="106">
        <f>12/199</f>
        <v>6.030150753768844E-2</v>
      </c>
      <c r="F42" s="106"/>
      <c r="G42" s="106">
        <f>22/199</f>
        <v>0.11055276381909548</v>
      </c>
      <c r="H42" s="106"/>
      <c r="I42" s="106">
        <f>54/199</f>
        <v>0.271356783919598</v>
      </c>
      <c r="J42" s="106"/>
      <c r="K42" s="106">
        <f>104/199</f>
        <v>0.52261306532663321</v>
      </c>
      <c r="L42" s="106"/>
      <c r="M42" s="106">
        <f>0/199</f>
        <v>0</v>
      </c>
      <c r="N42" s="106"/>
      <c r="O42" s="107"/>
      <c r="P42" s="22">
        <f>SUM(A42:O42)</f>
        <v>1</v>
      </c>
    </row>
    <row r="43" spans="1:16" ht="25.5" customHeight="1" x14ac:dyDescent="0.25">
      <c r="A43" s="108" t="s">
        <v>95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23"/>
    </row>
    <row r="44" spans="1:16" ht="19.5" customHeight="1" x14ac:dyDescent="0.25">
      <c r="A44" s="84" t="s">
        <v>52</v>
      </c>
      <c r="B44" s="85"/>
      <c r="C44" s="85"/>
      <c r="D44" s="85"/>
      <c r="E44" s="85" t="s">
        <v>51</v>
      </c>
      <c r="F44" s="85"/>
      <c r="G44" s="85"/>
      <c r="H44" s="85"/>
      <c r="I44" s="85" t="s">
        <v>96</v>
      </c>
      <c r="J44" s="85"/>
      <c r="K44" s="85"/>
      <c r="L44" s="85"/>
      <c r="M44" s="85" t="s">
        <v>0</v>
      </c>
      <c r="N44" s="85"/>
      <c r="O44" s="86"/>
      <c r="P44" s="23"/>
    </row>
    <row r="45" spans="1:16" x14ac:dyDescent="0.25">
      <c r="A45" s="87">
        <f>55/199</f>
        <v>0.27638190954773867</v>
      </c>
      <c r="B45" s="88"/>
      <c r="C45" s="88"/>
      <c r="D45" s="88"/>
      <c r="E45" s="88">
        <f>118/199</f>
        <v>0.59296482412060303</v>
      </c>
      <c r="F45" s="88"/>
      <c r="G45" s="88"/>
      <c r="H45" s="88"/>
      <c r="I45" s="88">
        <f>26/199</f>
        <v>0.1306532663316583</v>
      </c>
      <c r="J45" s="88"/>
      <c r="K45" s="88"/>
      <c r="L45" s="88"/>
      <c r="M45" s="88">
        <f>0/199</f>
        <v>0</v>
      </c>
      <c r="N45" s="88"/>
      <c r="O45" s="89"/>
      <c r="P45" s="22">
        <f t="shared" ref="P45:P48" si="1">SUM(A45:O45)</f>
        <v>1</v>
      </c>
    </row>
    <row r="46" spans="1:16" ht="36" customHeight="1" x14ac:dyDescent="0.25">
      <c r="A46" s="103" t="s">
        <v>97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23"/>
    </row>
    <row r="47" spans="1:16" ht="32.25" customHeight="1" x14ac:dyDescent="0.25">
      <c r="A47" s="93">
        <v>1</v>
      </c>
      <c r="B47" s="80"/>
      <c r="C47" s="80"/>
      <c r="D47" s="80">
        <v>2</v>
      </c>
      <c r="E47" s="80"/>
      <c r="F47" s="81">
        <v>3</v>
      </c>
      <c r="G47" s="94"/>
      <c r="H47" s="93"/>
      <c r="I47" s="80">
        <v>4</v>
      </c>
      <c r="J47" s="80"/>
      <c r="K47" s="80">
        <v>5</v>
      </c>
      <c r="L47" s="80"/>
      <c r="M47" s="80"/>
      <c r="N47" s="80" t="s">
        <v>0</v>
      </c>
      <c r="O47" s="81"/>
      <c r="P47" s="23"/>
    </row>
    <row r="48" spans="1:16" x14ac:dyDescent="0.25">
      <c r="A48" s="87">
        <f>2/199</f>
        <v>1.0050251256281407E-2</v>
      </c>
      <c r="B48" s="88"/>
      <c r="C48" s="88"/>
      <c r="D48" s="88">
        <f>3/199</f>
        <v>1.507537688442211E-2</v>
      </c>
      <c r="E48" s="88"/>
      <c r="F48" s="88">
        <f>27/199</f>
        <v>0.135678391959799</v>
      </c>
      <c r="G48" s="88"/>
      <c r="H48" s="88"/>
      <c r="I48" s="88">
        <f>66/199</f>
        <v>0.33165829145728642</v>
      </c>
      <c r="J48" s="88"/>
      <c r="K48" s="88">
        <f>100/199</f>
        <v>0.50251256281407031</v>
      </c>
      <c r="L48" s="88"/>
      <c r="M48" s="88"/>
      <c r="N48" s="88">
        <f>1/199</f>
        <v>5.0251256281407036E-3</v>
      </c>
      <c r="O48" s="89"/>
      <c r="P48" s="22">
        <f t="shared" si="1"/>
        <v>1</v>
      </c>
    </row>
    <row r="50" spans="1:15" x14ac:dyDescent="0.25">
      <c r="A50" s="109" t="s">
        <v>22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2" spans="1:15" x14ac:dyDescent="0.25">
      <c r="A52" s="79" t="s">
        <v>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</sheetData>
  <sheetProtection password="CC71" sheet="1" objects="1" scenarios="1"/>
  <mergeCells count="166">
    <mergeCell ref="A46:O46"/>
    <mergeCell ref="A43:O43"/>
    <mergeCell ref="A44:D44"/>
    <mergeCell ref="E44:H44"/>
    <mergeCell ref="I44:L44"/>
    <mergeCell ref="M44:O44"/>
    <mergeCell ref="A50:O50"/>
    <mergeCell ref="N47:O47"/>
    <mergeCell ref="A48:C48"/>
    <mergeCell ref="D48:E48"/>
    <mergeCell ref="F48:H48"/>
    <mergeCell ref="I48:J48"/>
    <mergeCell ref="K48:M48"/>
    <mergeCell ref="N48:O48"/>
    <mergeCell ref="A45:D45"/>
    <mergeCell ref="E45:H45"/>
    <mergeCell ref="I45:L45"/>
    <mergeCell ref="M45:O45"/>
    <mergeCell ref="A47:C47"/>
    <mergeCell ref="D47:E47"/>
    <mergeCell ref="F47:H47"/>
    <mergeCell ref="I47:J47"/>
    <mergeCell ref="K47:M47"/>
    <mergeCell ref="M41:O41"/>
    <mergeCell ref="A40:O40"/>
    <mergeCell ref="A41:B41"/>
    <mergeCell ref="C41:D41"/>
    <mergeCell ref="E41:F41"/>
    <mergeCell ref="G41:H41"/>
    <mergeCell ref="I41:J41"/>
    <mergeCell ref="K41:L41"/>
    <mergeCell ref="A42:B42"/>
    <mergeCell ref="C42:D42"/>
    <mergeCell ref="E42:F42"/>
    <mergeCell ref="G42:H42"/>
    <mergeCell ref="I42:J42"/>
    <mergeCell ref="K42:L42"/>
    <mergeCell ref="M42:O42"/>
    <mergeCell ref="A39:C39"/>
    <mergeCell ref="K39:M39"/>
    <mergeCell ref="N39:O39"/>
    <mergeCell ref="A38:C38"/>
    <mergeCell ref="K38:M38"/>
    <mergeCell ref="N38:O38"/>
    <mergeCell ref="D38:F38"/>
    <mergeCell ref="D39:F39"/>
    <mergeCell ref="G38:J38"/>
    <mergeCell ref="G39:J39"/>
    <mergeCell ref="A34:C34"/>
    <mergeCell ref="D34:E34"/>
    <mergeCell ref="F34:H34"/>
    <mergeCell ref="I34:J34"/>
    <mergeCell ref="K34:M34"/>
    <mergeCell ref="N34:O34"/>
    <mergeCell ref="A35:O35"/>
    <mergeCell ref="A36:O36"/>
    <mergeCell ref="A37:O37"/>
    <mergeCell ref="A32:O32"/>
    <mergeCell ref="A33:C33"/>
    <mergeCell ref="D33:E33"/>
    <mergeCell ref="F33:H33"/>
    <mergeCell ref="I33:J33"/>
    <mergeCell ref="K33:M33"/>
    <mergeCell ref="N33:O33"/>
    <mergeCell ref="A31:C31"/>
    <mergeCell ref="D31:E31"/>
    <mergeCell ref="F31:H31"/>
    <mergeCell ref="I31:J31"/>
    <mergeCell ref="K31:M31"/>
    <mergeCell ref="N31:O31"/>
    <mergeCell ref="A29:O29"/>
    <mergeCell ref="A30:C30"/>
    <mergeCell ref="D30:E30"/>
    <mergeCell ref="F30:H30"/>
    <mergeCell ref="I30:J30"/>
    <mergeCell ref="K30:M30"/>
    <mergeCell ref="N30:O30"/>
    <mergeCell ref="A28:C28"/>
    <mergeCell ref="D28:E28"/>
    <mergeCell ref="F28:H28"/>
    <mergeCell ref="I28:J28"/>
    <mergeCell ref="K28:M28"/>
    <mergeCell ref="N28:O28"/>
    <mergeCell ref="A26:O26"/>
    <mergeCell ref="A27:C27"/>
    <mergeCell ref="D27:E27"/>
    <mergeCell ref="F27:H27"/>
    <mergeCell ref="I27:J27"/>
    <mergeCell ref="K27:M27"/>
    <mergeCell ref="N27:O27"/>
    <mergeCell ref="A25:C25"/>
    <mergeCell ref="D25:E25"/>
    <mergeCell ref="F25:H25"/>
    <mergeCell ref="I25:J25"/>
    <mergeCell ref="K25:M25"/>
    <mergeCell ref="N25:O25"/>
    <mergeCell ref="A23:O23"/>
    <mergeCell ref="A24:C24"/>
    <mergeCell ref="D24:E24"/>
    <mergeCell ref="F24:H24"/>
    <mergeCell ref="I24:J24"/>
    <mergeCell ref="K24:M24"/>
    <mergeCell ref="N24:O24"/>
    <mergeCell ref="A22:C22"/>
    <mergeCell ref="D22:E22"/>
    <mergeCell ref="F22:H22"/>
    <mergeCell ref="I22:J22"/>
    <mergeCell ref="K22:M22"/>
    <mergeCell ref="N22:O22"/>
    <mergeCell ref="A21:C21"/>
    <mergeCell ref="D21:E21"/>
    <mergeCell ref="F21:H21"/>
    <mergeCell ref="I21:J21"/>
    <mergeCell ref="K21:M21"/>
    <mergeCell ref="N21:O21"/>
    <mergeCell ref="A19:C19"/>
    <mergeCell ref="D19:E19"/>
    <mergeCell ref="F19:H19"/>
    <mergeCell ref="I19:J19"/>
    <mergeCell ref="K19:M19"/>
    <mergeCell ref="N19:O19"/>
    <mergeCell ref="F18:H18"/>
    <mergeCell ref="I18:J18"/>
    <mergeCell ref="K18:M18"/>
    <mergeCell ref="N18:O18"/>
    <mergeCell ref="A20:O20"/>
    <mergeCell ref="A3:O3"/>
    <mergeCell ref="A12:C12"/>
    <mergeCell ref="D12:F12"/>
    <mergeCell ref="G12:I12"/>
    <mergeCell ref="J12:L12"/>
    <mergeCell ref="M12:O12"/>
    <mergeCell ref="A16:O16"/>
    <mergeCell ref="A15:C15"/>
    <mergeCell ref="D15:E15"/>
    <mergeCell ref="F15:H15"/>
    <mergeCell ref="I15:J15"/>
    <mergeCell ref="K15:M15"/>
    <mergeCell ref="N15:O15"/>
    <mergeCell ref="A13:O13"/>
    <mergeCell ref="A14:C14"/>
    <mergeCell ref="D14:E14"/>
    <mergeCell ref="A52:O52"/>
    <mergeCell ref="F14:H14"/>
    <mergeCell ref="I14:J14"/>
    <mergeCell ref="K14:M14"/>
    <mergeCell ref="N14:O14"/>
    <mergeCell ref="A2:O2"/>
    <mergeCell ref="A5:O5"/>
    <mergeCell ref="A6:E6"/>
    <mergeCell ref="F6:J6"/>
    <mergeCell ref="K6:O6"/>
    <mergeCell ref="A11:C11"/>
    <mergeCell ref="D11:F11"/>
    <mergeCell ref="G11:I11"/>
    <mergeCell ref="J11:L11"/>
    <mergeCell ref="M11:O11"/>
    <mergeCell ref="A7:E7"/>
    <mergeCell ref="F7:J7"/>
    <mergeCell ref="K7:O7"/>
    <mergeCell ref="A8:O8"/>
    <mergeCell ref="A9:O9"/>
    <mergeCell ref="A10:O10"/>
    <mergeCell ref="A17:O17"/>
    <mergeCell ref="A18:C18"/>
    <mergeCell ref="D18:E18"/>
  </mergeCells>
  <pageMargins left="0" right="0" top="0" bottom="0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Q87"/>
  <sheetViews>
    <sheetView workbookViewId="0">
      <selection activeCell="O1" sqref="O1:Q1048576"/>
    </sheetView>
  </sheetViews>
  <sheetFormatPr defaultRowHeight="17.25" x14ac:dyDescent="0.3"/>
  <cols>
    <col min="1" max="2" width="9.140625" style="2"/>
    <col min="3" max="3" width="10" style="2" customWidth="1"/>
    <col min="4" max="4" width="9.140625" style="2"/>
    <col min="5" max="5" width="10.28515625" style="2" customWidth="1"/>
    <col min="6" max="7" width="9.140625" style="2"/>
    <col min="8" max="8" width="9.5703125" style="2" customWidth="1"/>
    <col min="9" max="15" width="9.140625" style="2"/>
    <col min="16" max="16" width="9.140625" style="17" hidden="1" customWidth="1"/>
    <col min="17" max="19" width="9.140625" style="2" customWidth="1"/>
    <col min="20" max="16384" width="9.140625" style="2"/>
  </cols>
  <sheetData>
    <row r="1" spans="1:17" x14ac:dyDescent="0.3">
      <c r="A1" s="78" t="s">
        <v>235</v>
      </c>
    </row>
    <row r="2" spans="1:17" x14ac:dyDescent="0.3">
      <c r="A2" s="122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7" x14ac:dyDescent="0.3">
      <c r="A3" s="122" t="s">
        <v>231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1:17" x14ac:dyDescent="0.3">
      <c r="A5" s="111" t="s">
        <v>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x14ac:dyDescent="0.3">
      <c r="A6" s="84" t="s">
        <v>8</v>
      </c>
      <c r="B6" s="85"/>
      <c r="C6" s="85"/>
      <c r="D6" s="85"/>
      <c r="E6" s="85"/>
      <c r="F6" s="85" t="s">
        <v>9</v>
      </c>
      <c r="G6" s="85"/>
      <c r="H6" s="85"/>
      <c r="I6" s="85"/>
      <c r="J6" s="85"/>
      <c r="K6" s="85" t="s">
        <v>0</v>
      </c>
      <c r="L6" s="85"/>
      <c r="M6" s="85"/>
      <c r="N6" s="85"/>
      <c r="O6" s="86"/>
    </row>
    <row r="7" spans="1:17" x14ac:dyDescent="0.3">
      <c r="A7" s="114">
        <f>100/226</f>
        <v>0.44247787610619471</v>
      </c>
      <c r="B7" s="115"/>
      <c r="C7" s="115"/>
      <c r="D7" s="115"/>
      <c r="E7" s="115"/>
      <c r="F7" s="114">
        <f>126/226</f>
        <v>0.55752212389380529</v>
      </c>
      <c r="G7" s="115"/>
      <c r="H7" s="115"/>
      <c r="I7" s="115"/>
      <c r="J7" s="115"/>
      <c r="K7" s="114">
        <f>0/226</f>
        <v>0</v>
      </c>
      <c r="L7" s="115"/>
      <c r="M7" s="115"/>
      <c r="N7" s="115"/>
      <c r="O7" s="115"/>
      <c r="P7" s="18">
        <f>A7+F7+K7</f>
        <v>1</v>
      </c>
    </row>
    <row r="8" spans="1:17" x14ac:dyDescent="0.3">
      <c r="A8" s="111" t="s">
        <v>23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9"/>
    </row>
    <row r="9" spans="1:17" x14ac:dyDescent="0.3">
      <c r="A9" s="90" t="s">
        <v>228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19"/>
    </row>
    <row r="10" spans="1:17" x14ac:dyDescent="0.3">
      <c r="A10" s="111" t="s">
        <v>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9"/>
    </row>
    <row r="11" spans="1:17" x14ac:dyDescent="0.3">
      <c r="A11" s="84" t="s">
        <v>53</v>
      </c>
      <c r="B11" s="85"/>
      <c r="C11" s="85"/>
      <c r="D11" s="85" t="s">
        <v>12</v>
      </c>
      <c r="E11" s="85"/>
      <c r="F11" s="85"/>
      <c r="G11" s="85" t="s">
        <v>13</v>
      </c>
      <c r="H11" s="85"/>
      <c r="I11" s="85"/>
      <c r="J11" s="85" t="s">
        <v>14</v>
      </c>
      <c r="K11" s="85"/>
      <c r="L11" s="85"/>
      <c r="M11" s="85" t="s">
        <v>0</v>
      </c>
      <c r="N11" s="85"/>
      <c r="O11" s="86"/>
      <c r="P11" s="19"/>
    </row>
    <row r="12" spans="1:17" x14ac:dyDescent="0.3">
      <c r="A12" s="88">
        <f>6/226</f>
        <v>2.6548672566371681E-2</v>
      </c>
      <c r="B12" s="88"/>
      <c r="C12" s="88"/>
      <c r="D12" s="88">
        <f>18/226</f>
        <v>7.9646017699115043E-2</v>
      </c>
      <c r="E12" s="88"/>
      <c r="F12" s="88"/>
      <c r="G12" s="88">
        <f>129/226</f>
        <v>0.57079646017699115</v>
      </c>
      <c r="H12" s="88"/>
      <c r="I12" s="88"/>
      <c r="J12" s="88">
        <f>73/226</f>
        <v>0.32300884955752213</v>
      </c>
      <c r="K12" s="88"/>
      <c r="L12" s="88"/>
      <c r="M12" s="88">
        <f>0/226</f>
        <v>0</v>
      </c>
      <c r="N12" s="88"/>
      <c r="O12" s="89"/>
      <c r="P12" s="18">
        <f>A12+D12+G12+J12+M12</f>
        <v>1</v>
      </c>
    </row>
    <row r="13" spans="1:17" x14ac:dyDescent="0.3">
      <c r="A13" s="111" t="s">
        <v>15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9"/>
    </row>
    <row r="14" spans="1:17" x14ac:dyDescent="0.3">
      <c r="A14" s="93" t="s">
        <v>16</v>
      </c>
      <c r="B14" s="80"/>
      <c r="C14" s="80"/>
      <c r="D14" s="80" t="s">
        <v>17</v>
      </c>
      <c r="E14" s="80"/>
      <c r="F14" s="80" t="s">
        <v>18</v>
      </c>
      <c r="G14" s="80"/>
      <c r="H14" s="80"/>
      <c r="I14" s="80" t="s">
        <v>19</v>
      </c>
      <c r="J14" s="80"/>
      <c r="K14" s="80" t="s">
        <v>20</v>
      </c>
      <c r="L14" s="80"/>
      <c r="M14" s="80"/>
      <c r="N14" s="80" t="s">
        <v>0</v>
      </c>
      <c r="O14" s="81"/>
      <c r="P14" s="19"/>
    </row>
    <row r="15" spans="1:17" x14ac:dyDescent="0.3">
      <c r="A15" s="87">
        <f>1/226</f>
        <v>4.4247787610619468E-3</v>
      </c>
      <c r="B15" s="88"/>
      <c r="C15" s="88"/>
      <c r="D15" s="88">
        <f>10/226</f>
        <v>4.4247787610619468E-2</v>
      </c>
      <c r="E15" s="88"/>
      <c r="F15" s="88">
        <f>69/226</f>
        <v>0.30530973451327431</v>
      </c>
      <c r="G15" s="88"/>
      <c r="H15" s="88"/>
      <c r="I15" s="88">
        <f>122/226</f>
        <v>0.53982300884955747</v>
      </c>
      <c r="J15" s="88"/>
      <c r="K15" s="88">
        <f>24/226</f>
        <v>0.10619469026548672</v>
      </c>
      <c r="L15" s="88"/>
      <c r="M15" s="88"/>
      <c r="N15" s="88">
        <f>0/226</f>
        <v>0</v>
      </c>
      <c r="O15" s="89"/>
      <c r="P15" s="18">
        <f>SUM(A15:O15)</f>
        <v>1</v>
      </c>
      <c r="Q15" s="25"/>
    </row>
    <row r="16" spans="1:17" ht="35.25" customHeight="1" x14ac:dyDescent="0.3">
      <c r="A16" s="121" t="s">
        <v>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9"/>
    </row>
    <row r="17" spans="1:16" ht="35.25" customHeight="1" x14ac:dyDescent="0.3">
      <c r="A17" s="112" t="s">
        <v>55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9"/>
    </row>
    <row r="18" spans="1:16" ht="24.75" customHeight="1" x14ac:dyDescent="0.3">
      <c r="A18" s="93">
        <v>1</v>
      </c>
      <c r="B18" s="80"/>
      <c r="C18" s="80"/>
      <c r="D18" s="80">
        <v>2</v>
      </c>
      <c r="E18" s="80"/>
      <c r="F18" s="81">
        <v>3</v>
      </c>
      <c r="G18" s="94"/>
      <c r="H18" s="93"/>
      <c r="I18" s="80">
        <v>4</v>
      </c>
      <c r="J18" s="80"/>
      <c r="K18" s="80">
        <v>5</v>
      </c>
      <c r="L18" s="80"/>
      <c r="M18" s="80"/>
      <c r="N18" s="80" t="s">
        <v>0</v>
      </c>
      <c r="O18" s="81"/>
      <c r="P18" s="19"/>
    </row>
    <row r="19" spans="1:16" x14ac:dyDescent="0.3">
      <c r="A19" s="87">
        <f>5/226</f>
        <v>2.2123893805309734E-2</v>
      </c>
      <c r="B19" s="88"/>
      <c r="C19" s="88"/>
      <c r="D19" s="88">
        <f>5/226</f>
        <v>2.2123893805309734E-2</v>
      </c>
      <c r="E19" s="88"/>
      <c r="F19" s="88">
        <f>27/226</f>
        <v>0.11946902654867257</v>
      </c>
      <c r="G19" s="88"/>
      <c r="H19" s="88"/>
      <c r="I19" s="88">
        <f>47/226</f>
        <v>0.20796460176991149</v>
      </c>
      <c r="J19" s="88"/>
      <c r="K19" s="88">
        <f>142/226</f>
        <v>0.62831858407079644</v>
      </c>
      <c r="L19" s="88"/>
      <c r="M19" s="88"/>
      <c r="N19" s="88">
        <f>0/226</f>
        <v>0</v>
      </c>
      <c r="O19" s="89"/>
      <c r="P19" s="18">
        <f>A19+D19+F19+I19+K19+N19</f>
        <v>1</v>
      </c>
    </row>
    <row r="20" spans="1:16" ht="35.25" customHeight="1" x14ac:dyDescent="0.3">
      <c r="A20" s="112" t="s">
        <v>56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9"/>
    </row>
    <row r="21" spans="1:16" x14ac:dyDescent="0.3">
      <c r="A21" s="93">
        <v>1</v>
      </c>
      <c r="B21" s="80"/>
      <c r="C21" s="80"/>
      <c r="D21" s="80">
        <v>2</v>
      </c>
      <c r="E21" s="80"/>
      <c r="F21" s="96">
        <v>3</v>
      </c>
      <c r="G21" s="97"/>
      <c r="H21" s="98"/>
      <c r="I21" s="80">
        <v>4</v>
      </c>
      <c r="J21" s="80"/>
      <c r="K21" s="80">
        <v>5</v>
      </c>
      <c r="L21" s="80"/>
      <c r="M21" s="80"/>
      <c r="N21" s="80" t="s">
        <v>0</v>
      </c>
      <c r="O21" s="81"/>
      <c r="P21" s="19"/>
    </row>
    <row r="22" spans="1:16" x14ac:dyDescent="0.3">
      <c r="A22" s="87">
        <f>1/226</f>
        <v>4.4247787610619468E-3</v>
      </c>
      <c r="B22" s="88"/>
      <c r="C22" s="88"/>
      <c r="D22" s="88">
        <f>4/226</f>
        <v>1.7699115044247787E-2</v>
      </c>
      <c r="E22" s="88"/>
      <c r="F22" s="88">
        <f>17/226</f>
        <v>7.5221238938053103E-2</v>
      </c>
      <c r="G22" s="88"/>
      <c r="H22" s="88"/>
      <c r="I22" s="88">
        <f>39/226</f>
        <v>0.17256637168141592</v>
      </c>
      <c r="J22" s="88"/>
      <c r="K22" s="88">
        <f>165/226</f>
        <v>0.73008849557522126</v>
      </c>
      <c r="L22" s="88"/>
      <c r="M22" s="88"/>
      <c r="N22" s="88">
        <f>0/226</f>
        <v>0</v>
      </c>
      <c r="O22" s="89"/>
      <c r="P22" s="18">
        <f>A22+D22+F22+I22+K22+N22</f>
        <v>1</v>
      </c>
    </row>
    <row r="23" spans="1:16" x14ac:dyDescent="0.3">
      <c r="A23" s="120" t="s">
        <v>57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9"/>
    </row>
    <row r="24" spans="1:16" x14ac:dyDescent="0.3">
      <c r="A24" s="93">
        <v>1</v>
      </c>
      <c r="B24" s="80"/>
      <c r="C24" s="80"/>
      <c r="D24" s="80">
        <v>2</v>
      </c>
      <c r="E24" s="80"/>
      <c r="F24" s="96">
        <v>3</v>
      </c>
      <c r="G24" s="97"/>
      <c r="H24" s="98"/>
      <c r="I24" s="80">
        <v>4</v>
      </c>
      <c r="J24" s="80"/>
      <c r="K24" s="80">
        <v>5</v>
      </c>
      <c r="L24" s="80"/>
      <c r="M24" s="80"/>
      <c r="N24" s="80" t="s">
        <v>0</v>
      </c>
      <c r="O24" s="81"/>
      <c r="P24" s="19"/>
    </row>
    <row r="25" spans="1:16" x14ac:dyDescent="0.3">
      <c r="A25" s="87">
        <f>18/226</f>
        <v>7.9646017699115043E-2</v>
      </c>
      <c r="B25" s="88"/>
      <c r="C25" s="88"/>
      <c r="D25" s="88">
        <f>22/226</f>
        <v>9.7345132743362831E-2</v>
      </c>
      <c r="E25" s="88"/>
      <c r="F25" s="88">
        <f>53/226</f>
        <v>0.23451327433628319</v>
      </c>
      <c r="G25" s="88"/>
      <c r="H25" s="88"/>
      <c r="I25" s="88">
        <f>55/226</f>
        <v>0.24336283185840707</v>
      </c>
      <c r="J25" s="88"/>
      <c r="K25" s="88">
        <f>78/226</f>
        <v>0.34513274336283184</v>
      </c>
      <c r="L25" s="88"/>
      <c r="M25" s="88"/>
      <c r="N25" s="88">
        <f>0/226</f>
        <v>0</v>
      </c>
      <c r="O25" s="89"/>
      <c r="P25" s="18">
        <f>A25+D25+F25+I25+K25+N25</f>
        <v>0.99999999999999989</v>
      </c>
    </row>
    <row r="26" spans="1:16" x14ac:dyDescent="0.3">
      <c r="A26" s="120" t="s">
        <v>58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9"/>
    </row>
    <row r="27" spans="1:16" x14ac:dyDescent="0.3">
      <c r="A27" s="93">
        <v>1</v>
      </c>
      <c r="B27" s="80"/>
      <c r="C27" s="80"/>
      <c r="D27" s="80">
        <v>2</v>
      </c>
      <c r="E27" s="80"/>
      <c r="F27" s="96">
        <v>3</v>
      </c>
      <c r="G27" s="97"/>
      <c r="H27" s="98"/>
      <c r="I27" s="80">
        <v>4</v>
      </c>
      <c r="J27" s="80"/>
      <c r="K27" s="80">
        <v>5</v>
      </c>
      <c r="L27" s="80"/>
      <c r="M27" s="80"/>
      <c r="N27" s="80" t="s">
        <v>0</v>
      </c>
      <c r="O27" s="81"/>
      <c r="P27" s="19"/>
    </row>
    <row r="28" spans="1:16" x14ac:dyDescent="0.3">
      <c r="A28" s="87">
        <f>4/226</f>
        <v>1.7699115044247787E-2</v>
      </c>
      <c r="B28" s="88"/>
      <c r="C28" s="88"/>
      <c r="D28" s="88">
        <f>14/226</f>
        <v>6.1946902654867256E-2</v>
      </c>
      <c r="E28" s="88"/>
      <c r="F28" s="88">
        <f>41/226</f>
        <v>0.18141592920353983</v>
      </c>
      <c r="G28" s="88"/>
      <c r="H28" s="88"/>
      <c r="I28" s="88">
        <f>57/226</f>
        <v>0.25221238938053098</v>
      </c>
      <c r="J28" s="88"/>
      <c r="K28" s="88">
        <f>109/226</f>
        <v>0.48230088495575218</v>
      </c>
      <c r="L28" s="88"/>
      <c r="M28" s="88"/>
      <c r="N28" s="88">
        <f>1/226</f>
        <v>4.4247787610619468E-3</v>
      </c>
      <c r="O28" s="89"/>
      <c r="P28" s="18">
        <f>A28+D28+F28+I28+K28+N28</f>
        <v>1</v>
      </c>
    </row>
    <row r="29" spans="1:16" x14ac:dyDescent="0.3">
      <c r="A29" s="120" t="s">
        <v>59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9"/>
    </row>
    <row r="30" spans="1:16" x14ac:dyDescent="0.3">
      <c r="A30" s="93">
        <v>1</v>
      </c>
      <c r="B30" s="80"/>
      <c r="C30" s="80"/>
      <c r="D30" s="80">
        <v>2</v>
      </c>
      <c r="E30" s="80"/>
      <c r="F30" s="96">
        <v>3</v>
      </c>
      <c r="G30" s="97"/>
      <c r="H30" s="98"/>
      <c r="I30" s="80">
        <v>4</v>
      </c>
      <c r="J30" s="80"/>
      <c r="K30" s="80">
        <v>5</v>
      </c>
      <c r="L30" s="80"/>
      <c r="M30" s="80"/>
      <c r="N30" s="80" t="s">
        <v>0</v>
      </c>
      <c r="O30" s="81"/>
      <c r="P30" s="19"/>
    </row>
    <row r="31" spans="1:16" x14ac:dyDescent="0.3">
      <c r="A31" s="87">
        <f>2/226</f>
        <v>8.8495575221238937E-3</v>
      </c>
      <c r="B31" s="88"/>
      <c r="C31" s="88"/>
      <c r="D31" s="88">
        <f>10/226</f>
        <v>4.4247787610619468E-2</v>
      </c>
      <c r="E31" s="88"/>
      <c r="F31" s="88">
        <f>27/226</f>
        <v>0.11946902654867257</v>
      </c>
      <c r="G31" s="88"/>
      <c r="H31" s="88"/>
      <c r="I31" s="88">
        <f>53/226</f>
        <v>0.23451327433628319</v>
      </c>
      <c r="J31" s="88"/>
      <c r="K31" s="88">
        <f>134/226</f>
        <v>0.59292035398230092</v>
      </c>
      <c r="L31" s="88"/>
      <c r="M31" s="88"/>
      <c r="N31" s="88">
        <f>0/226</f>
        <v>0</v>
      </c>
      <c r="O31" s="89"/>
      <c r="P31" s="18">
        <f>A31+D31+F31+I31+K31+N31</f>
        <v>1</v>
      </c>
    </row>
    <row r="32" spans="1:16" x14ac:dyDescent="0.3">
      <c r="A32" s="120" t="s">
        <v>60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9"/>
    </row>
    <row r="33" spans="1:16" x14ac:dyDescent="0.3">
      <c r="A33" s="93">
        <v>1</v>
      </c>
      <c r="B33" s="80"/>
      <c r="C33" s="80"/>
      <c r="D33" s="80">
        <v>2</v>
      </c>
      <c r="E33" s="80"/>
      <c r="F33" s="96">
        <v>3</v>
      </c>
      <c r="G33" s="97"/>
      <c r="H33" s="98"/>
      <c r="I33" s="80">
        <v>4</v>
      </c>
      <c r="J33" s="80"/>
      <c r="K33" s="80">
        <v>5</v>
      </c>
      <c r="L33" s="80"/>
      <c r="M33" s="80"/>
      <c r="N33" s="80" t="s">
        <v>0</v>
      </c>
      <c r="O33" s="81"/>
      <c r="P33" s="19"/>
    </row>
    <row r="34" spans="1:16" x14ac:dyDescent="0.3">
      <c r="A34" s="87">
        <f>5/226</f>
        <v>2.2123893805309734E-2</v>
      </c>
      <c r="B34" s="88"/>
      <c r="C34" s="88"/>
      <c r="D34" s="88">
        <f>10/226</f>
        <v>4.4247787610619468E-2</v>
      </c>
      <c r="E34" s="88"/>
      <c r="F34" s="88">
        <f>36/226</f>
        <v>0.15929203539823009</v>
      </c>
      <c r="G34" s="88"/>
      <c r="H34" s="88"/>
      <c r="I34" s="88">
        <f>60/226</f>
        <v>0.26548672566371684</v>
      </c>
      <c r="J34" s="88"/>
      <c r="K34" s="88">
        <f>114/226</f>
        <v>0.50442477876106195</v>
      </c>
      <c r="L34" s="88"/>
      <c r="M34" s="88"/>
      <c r="N34" s="88">
        <f>1/226</f>
        <v>4.4247787610619468E-3</v>
      </c>
      <c r="O34" s="89"/>
      <c r="P34" s="18">
        <f>A34+D34+F34+I34+K34+N34</f>
        <v>1</v>
      </c>
    </row>
    <row r="35" spans="1:16" x14ac:dyDescent="0.3">
      <c r="A35" s="120" t="s">
        <v>61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20"/>
    </row>
    <row r="36" spans="1:16" x14ac:dyDescent="0.3">
      <c r="A36" s="93">
        <v>1</v>
      </c>
      <c r="B36" s="80"/>
      <c r="C36" s="80"/>
      <c r="D36" s="80">
        <v>2</v>
      </c>
      <c r="E36" s="80"/>
      <c r="F36" s="96">
        <v>3</v>
      </c>
      <c r="G36" s="97"/>
      <c r="H36" s="98"/>
      <c r="I36" s="80">
        <v>4</v>
      </c>
      <c r="J36" s="80"/>
      <c r="K36" s="80">
        <v>5</v>
      </c>
      <c r="L36" s="80"/>
      <c r="M36" s="80"/>
      <c r="N36" s="80" t="s">
        <v>0</v>
      </c>
      <c r="O36" s="81"/>
      <c r="P36" s="20"/>
    </row>
    <row r="37" spans="1:16" x14ac:dyDescent="0.3">
      <c r="A37" s="87">
        <f>57/226</f>
        <v>0.25221238938053098</v>
      </c>
      <c r="B37" s="88"/>
      <c r="C37" s="88"/>
      <c r="D37" s="88">
        <f>10/226</f>
        <v>4.4247787610619468E-2</v>
      </c>
      <c r="E37" s="88"/>
      <c r="F37" s="88">
        <f>19/226</f>
        <v>8.4070796460176997E-2</v>
      </c>
      <c r="G37" s="88"/>
      <c r="H37" s="88"/>
      <c r="I37" s="88">
        <f>35/226</f>
        <v>0.15486725663716813</v>
      </c>
      <c r="J37" s="88"/>
      <c r="K37" s="88">
        <f>105/226</f>
        <v>0.46460176991150443</v>
      </c>
      <c r="L37" s="88"/>
      <c r="M37" s="88"/>
      <c r="N37" s="88">
        <f>0/226</f>
        <v>0</v>
      </c>
      <c r="O37" s="89"/>
      <c r="P37" s="18">
        <f>SUM(A37:O37)</f>
        <v>1</v>
      </c>
    </row>
    <row r="38" spans="1:16" ht="35.25" customHeight="1" x14ac:dyDescent="0.3">
      <c r="A38" s="112" t="s">
        <v>81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20"/>
    </row>
    <row r="39" spans="1:16" x14ac:dyDescent="0.3">
      <c r="A39" s="93">
        <v>1</v>
      </c>
      <c r="B39" s="80"/>
      <c r="C39" s="80"/>
      <c r="D39" s="80">
        <v>2</v>
      </c>
      <c r="E39" s="80"/>
      <c r="F39" s="96">
        <v>3</v>
      </c>
      <c r="G39" s="97"/>
      <c r="H39" s="98"/>
      <c r="I39" s="80">
        <v>4</v>
      </c>
      <c r="J39" s="80"/>
      <c r="K39" s="80">
        <v>5</v>
      </c>
      <c r="L39" s="80"/>
      <c r="M39" s="80"/>
      <c r="N39" s="80" t="s">
        <v>0</v>
      </c>
      <c r="O39" s="81"/>
      <c r="P39" s="20"/>
    </row>
    <row r="40" spans="1:16" x14ac:dyDescent="0.3">
      <c r="A40" s="87">
        <f>3/226</f>
        <v>1.3274336283185841E-2</v>
      </c>
      <c r="B40" s="88"/>
      <c r="C40" s="88"/>
      <c r="D40" s="88">
        <f>10/226</f>
        <v>4.4247787610619468E-2</v>
      </c>
      <c r="E40" s="88"/>
      <c r="F40" s="88">
        <f>23/226</f>
        <v>0.10176991150442478</v>
      </c>
      <c r="G40" s="88"/>
      <c r="H40" s="88"/>
      <c r="I40" s="88">
        <f>39/226</f>
        <v>0.17256637168141592</v>
      </c>
      <c r="J40" s="88"/>
      <c r="K40" s="88">
        <f>151/226</f>
        <v>0.66814159292035402</v>
      </c>
      <c r="L40" s="88"/>
      <c r="M40" s="88"/>
      <c r="N40" s="88">
        <f>0/226</f>
        <v>0</v>
      </c>
      <c r="O40" s="89"/>
      <c r="P40" s="18">
        <f>SUM(A40:O40)</f>
        <v>1</v>
      </c>
    </row>
    <row r="41" spans="1:16" ht="29.25" customHeight="1" x14ac:dyDescent="0.3">
      <c r="A41" s="111" t="s">
        <v>62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9"/>
    </row>
    <row r="42" spans="1:16" x14ac:dyDescent="0.3">
      <c r="A42" s="110" t="s">
        <v>63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9"/>
    </row>
    <row r="43" spans="1:16" x14ac:dyDescent="0.3">
      <c r="A43" s="93">
        <v>1</v>
      </c>
      <c r="B43" s="80"/>
      <c r="C43" s="80"/>
      <c r="D43" s="80">
        <v>2</v>
      </c>
      <c r="E43" s="80"/>
      <c r="F43" s="96">
        <v>3</v>
      </c>
      <c r="G43" s="97"/>
      <c r="H43" s="98"/>
      <c r="I43" s="80">
        <v>4</v>
      </c>
      <c r="J43" s="80"/>
      <c r="K43" s="80">
        <v>5</v>
      </c>
      <c r="L43" s="80"/>
      <c r="M43" s="80"/>
      <c r="N43" s="80" t="s">
        <v>0</v>
      </c>
      <c r="O43" s="81"/>
      <c r="P43" s="19"/>
    </row>
    <row r="44" spans="1:16" x14ac:dyDescent="0.3">
      <c r="A44" s="87">
        <f>3/226</f>
        <v>1.3274336283185841E-2</v>
      </c>
      <c r="B44" s="88"/>
      <c r="C44" s="88"/>
      <c r="D44" s="88">
        <f>4/226</f>
        <v>1.7699115044247787E-2</v>
      </c>
      <c r="E44" s="88"/>
      <c r="F44" s="88">
        <f>6/226</f>
        <v>2.6548672566371681E-2</v>
      </c>
      <c r="G44" s="88"/>
      <c r="H44" s="88"/>
      <c r="I44" s="88">
        <f>33/226</f>
        <v>0.14601769911504425</v>
      </c>
      <c r="J44" s="88"/>
      <c r="K44" s="88">
        <f>180/226</f>
        <v>0.79646017699115046</v>
      </c>
      <c r="L44" s="88"/>
      <c r="M44" s="88"/>
      <c r="N44" s="88">
        <f>0/226</f>
        <v>0</v>
      </c>
      <c r="O44" s="89"/>
      <c r="P44" s="18">
        <f>SUM(A44:O44)</f>
        <v>1</v>
      </c>
    </row>
    <row r="45" spans="1:16" x14ac:dyDescent="0.3">
      <c r="A45" s="110" t="s">
        <v>64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9"/>
    </row>
    <row r="46" spans="1:16" x14ac:dyDescent="0.3">
      <c r="A46" s="93">
        <v>1</v>
      </c>
      <c r="B46" s="80"/>
      <c r="C46" s="80"/>
      <c r="D46" s="80">
        <v>2</v>
      </c>
      <c r="E46" s="80"/>
      <c r="F46" s="96">
        <v>3</v>
      </c>
      <c r="G46" s="97"/>
      <c r="H46" s="98"/>
      <c r="I46" s="80">
        <v>4</v>
      </c>
      <c r="J46" s="80"/>
      <c r="K46" s="80">
        <v>5</v>
      </c>
      <c r="L46" s="80"/>
      <c r="M46" s="80"/>
      <c r="N46" s="80" t="s">
        <v>0</v>
      </c>
      <c r="O46" s="81"/>
      <c r="P46" s="19"/>
    </row>
    <row r="47" spans="1:16" x14ac:dyDescent="0.3">
      <c r="A47" s="87">
        <f>1/226</f>
        <v>4.4247787610619468E-3</v>
      </c>
      <c r="B47" s="88"/>
      <c r="C47" s="88"/>
      <c r="D47" s="88">
        <f>6/226</f>
        <v>2.6548672566371681E-2</v>
      </c>
      <c r="E47" s="88"/>
      <c r="F47" s="88">
        <f>12/226</f>
        <v>5.3097345132743362E-2</v>
      </c>
      <c r="G47" s="88"/>
      <c r="H47" s="88"/>
      <c r="I47" s="88">
        <f>44/226</f>
        <v>0.19469026548672566</v>
      </c>
      <c r="J47" s="88"/>
      <c r="K47" s="88">
        <f>163/226</f>
        <v>0.72123893805309736</v>
      </c>
      <c r="L47" s="88"/>
      <c r="M47" s="88"/>
      <c r="N47" s="88">
        <f>0/226</f>
        <v>0</v>
      </c>
      <c r="O47" s="89"/>
      <c r="P47" s="18">
        <f>SUM(A47:O47)</f>
        <v>1</v>
      </c>
    </row>
    <row r="48" spans="1:16" x14ac:dyDescent="0.3">
      <c r="A48" s="110" t="s">
        <v>65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9"/>
    </row>
    <row r="49" spans="1:16" x14ac:dyDescent="0.3">
      <c r="A49" s="93">
        <v>1</v>
      </c>
      <c r="B49" s="80"/>
      <c r="C49" s="80"/>
      <c r="D49" s="80">
        <v>2</v>
      </c>
      <c r="E49" s="80"/>
      <c r="F49" s="96">
        <v>3</v>
      </c>
      <c r="G49" s="97"/>
      <c r="H49" s="98"/>
      <c r="I49" s="80">
        <v>4</v>
      </c>
      <c r="J49" s="80"/>
      <c r="K49" s="80">
        <v>5</v>
      </c>
      <c r="L49" s="80"/>
      <c r="M49" s="80"/>
      <c r="N49" s="80" t="s">
        <v>0</v>
      </c>
      <c r="O49" s="81"/>
      <c r="P49" s="19"/>
    </row>
    <row r="50" spans="1:16" x14ac:dyDescent="0.3">
      <c r="A50" s="87">
        <f>1/226</f>
        <v>4.4247787610619468E-3</v>
      </c>
      <c r="B50" s="88"/>
      <c r="C50" s="88"/>
      <c r="D50" s="88">
        <f>6/226</f>
        <v>2.6548672566371681E-2</v>
      </c>
      <c r="E50" s="88"/>
      <c r="F50" s="88">
        <f>16/226</f>
        <v>7.0796460176991149E-2</v>
      </c>
      <c r="G50" s="88"/>
      <c r="H50" s="88"/>
      <c r="I50" s="88">
        <f>49/226</f>
        <v>0.2168141592920354</v>
      </c>
      <c r="J50" s="88"/>
      <c r="K50" s="88">
        <f>154/226</f>
        <v>0.68141592920353977</v>
      </c>
      <c r="L50" s="88"/>
      <c r="M50" s="88"/>
      <c r="N50" s="88">
        <f>0/226</f>
        <v>0</v>
      </c>
      <c r="O50" s="89"/>
      <c r="P50" s="18">
        <f>SUM(A50:O50)</f>
        <v>1</v>
      </c>
    </row>
    <row r="51" spans="1:16" x14ac:dyDescent="0.3">
      <c r="A51" s="110" t="s">
        <v>66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20"/>
    </row>
    <row r="52" spans="1:16" x14ac:dyDescent="0.3">
      <c r="A52" s="93">
        <v>1</v>
      </c>
      <c r="B52" s="80"/>
      <c r="C52" s="80"/>
      <c r="D52" s="80">
        <v>2</v>
      </c>
      <c r="E52" s="80"/>
      <c r="F52" s="96">
        <v>3</v>
      </c>
      <c r="G52" s="97"/>
      <c r="H52" s="98"/>
      <c r="I52" s="80">
        <v>4</v>
      </c>
      <c r="J52" s="80"/>
      <c r="K52" s="80">
        <v>5</v>
      </c>
      <c r="L52" s="80"/>
      <c r="M52" s="80"/>
      <c r="N52" s="80" t="s">
        <v>0</v>
      </c>
      <c r="O52" s="81"/>
      <c r="P52" s="20"/>
    </row>
    <row r="53" spans="1:16" x14ac:dyDescent="0.3">
      <c r="A53" s="87">
        <f>2/226</f>
        <v>8.8495575221238937E-3</v>
      </c>
      <c r="B53" s="88"/>
      <c r="C53" s="88"/>
      <c r="D53" s="88">
        <f>2/226</f>
        <v>8.8495575221238937E-3</v>
      </c>
      <c r="E53" s="88"/>
      <c r="F53" s="88">
        <f>8/226</f>
        <v>3.5398230088495575E-2</v>
      </c>
      <c r="G53" s="88"/>
      <c r="H53" s="88"/>
      <c r="I53" s="88">
        <f>33/226</f>
        <v>0.14601769911504425</v>
      </c>
      <c r="J53" s="88"/>
      <c r="K53" s="88">
        <f>180/226</f>
        <v>0.79646017699115046</v>
      </c>
      <c r="L53" s="88"/>
      <c r="M53" s="88"/>
      <c r="N53" s="88">
        <f>1/226</f>
        <v>4.4247787610619468E-3</v>
      </c>
      <c r="O53" s="89"/>
      <c r="P53" s="18">
        <f>SUM(A53:O53)</f>
        <v>1</v>
      </c>
    </row>
    <row r="54" spans="1:16" ht="25.5" customHeight="1" x14ac:dyDescent="0.3">
      <c r="A54" s="111" t="s">
        <v>67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9"/>
    </row>
    <row r="55" spans="1:16" x14ac:dyDescent="0.3">
      <c r="A55" s="110" t="s">
        <v>68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9"/>
    </row>
    <row r="56" spans="1:16" ht="18" customHeight="1" x14ac:dyDescent="0.3">
      <c r="A56" s="94">
        <v>1</v>
      </c>
      <c r="B56" s="94"/>
      <c r="C56" s="93"/>
      <c r="D56" s="81">
        <v>2</v>
      </c>
      <c r="E56" s="93"/>
      <c r="F56" s="81">
        <v>3</v>
      </c>
      <c r="G56" s="94"/>
      <c r="H56" s="93"/>
      <c r="I56" s="81">
        <v>4</v>
      </c>
      <c r="J56" s="93"/>
      <c r="K56" s="81">
        <v>5</v>
      </c>
      <c r="L56" s="94"/>
      <c r="M56" s="93"/>
      <c r="N56" s="81" t="s">
        <v>0</v>
      </c>
      <c r="O56" s="94"/>
      <c r="P56" s="19"/>
    </row>
    <row r="57" spans="1:16" x14ac:dyDescent="0.3">
      <c r="A57" s="118">
        <f>3/226</f>
        <v>1.3274336283185841E-2</v>
      </c>
      <c r="B57" s="118"/>
      <c r="C57" s="87"/>
      <c r="D57" s="89">
        <f>4/226</f>
        <v>1.7699115044247787E-2</v>
      </c>
      <c r="E57" s="87"/>
      <c r="F57" s="89">
        <f>15/226</f>
        <v>6.637168141592921E-2</v>
      </c>
      <c r="G57" s="118"/>
      <c r="H57" s="87"/>
      <c r="I57" s="89">
        <f>49/226</f>
        <v>0.2168141592920354</v>
      </c>
      <c r="J57" s="87"/>
      <c r="K57" s="89">
        <f>155/226</f>
        <v>0.68584070796460173</v>
      </c>
      <c r="L57" s="118"/>
      <c r="M57" s="87"/>
      <c r="N57" s="89">
        <f>0/226</f>
        <v>0</v>
      </c>
      <c r="O57" s="118"/>
      <c r="P57" s="18">
        <f>A57+D57+F57+I57+K57+N57</f>
        <v>1</v>
      </c>
    </row>
    <row r="58" spans="1:16" x14ac:dyDescent="0.3">
      <c r="A58" s="110" t="s">
        <v>69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9"/>
    </row>
    <row r="59" spans="1:16" ht="24.75" customHeight="1" x14ac:dyDescent="0.3">
      <c r="A59" s="93">
        <v>1</v>
      </c>
      <c r="B59" s="80"/>
      <c r="C59" s="80"/>
      <c r="D59" s="80">
        <v>2</v>
      </c>
      <c r="E59" s="80"/>
      <c r="F59" s="81">
        <v>3</v>
      </c>
      <c r="G59" s="94"/>
      <c r="H59" s="93"/>
      <c r="I59" s="80">
        <v>4</v>
      </c>
      <c r="J59" s="80"/>
      <c r="K59" s="80">
        <v>5</v>
      </c>
      <c r="L59" s="80"/>
      <c r="M59" s="80"/>
      <c r="N59" s="80" t="s">
        <v>0</v>
      </c>
      <c r="O59" s="81"/>
      <c r="P59" s="19"/>
    </row>
    <row r="60" spans="1:16" x14ac:dyDescent="0.3">
      <c r="A60" s="87">
        <f>0/226</f>
        <v>0</v>
      </c>
      <c r="B60" s="88"/>
      <c r="C60" s="88"/>
      <c r="D60" s="88">
        <f>5/226</f>
        <v>2.2123893805309734E-2</v>
      </c>
      <c r="E60" s="88"/>
      <c r="F60" s="88">
        <f>19/226</f>
        <v>8.4070796460176997E-2</v>
      </c>
      <c r="G60" s="88"/>
      <c r="H60" s="88"/>
      <c r="I60" s="88">
        <f>56/226</f>
        <v>0.24778761061946902</v>
      </c>
      <c r="J60" s="88"/>
      <c r="K60" s="88">
        <f>146/226</f>
        <v>0.64601769911504425</v>
      </c>
      <c r="L60" s="88"/>
      <c r="M60" s="88"/>
      <c r="N60" s="88">
        <f>0/226</f>
        <v>0</v>
      </c>
      <c r="O60" s="89"/>
      <c r="P60" s="18">
        <f>A60+D60+F60+I60+K60+N60</f>
        <v>1</v>
      </c>
    </row>
    <row r="61" spans="1:16" x14ac:dyDescent="0.3">
      <c r="A61" s="110" t="s">
        <v>70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9"/>
    </row>
    <row r="62" spans="1:16" ht="22.5" customHeight="1" x14ac:dyDescent="0.3">
      <c r="A62" s="93">
        <v>1</v>
      </c>
      <c r="B62" s="80"/>
      <c r="C62" s="80"/>
      <c r="D62" s="80">
        <v>2</v>
      </c>
      <c r="E62" s="80"/>
      <c r="F62" s="81">
        <v>3</v>
      </c>
      <c r="G62" s="94"/>
      <c r="H62" s="93"/>
      <c r="I62" s="80">
        <v>4</v>
      </c>
      <c r="J62" s="80"/>
      <c r="K62" s="80">
        <v>4</v>
      </c>
      <c r="L62" s="80"/>
      <c r="M62" s="80"/>
      <c r="N62" s="80" t="s">
        <v>0</v>
      </c>
      <c r="O62" s="81"/>
      <c r="P62" s="19"/>
    </row>
    <row r="63" spans="1:16" x14ac:dyDescent="0.3">
      <c r="A63" s="87">
        <f>1/226</f>
        <v>4.4247787610619468E-3</v>
      </c>
      <c r="B63" s="88"/>
      <c r="C63" s="88"/>
      <c r="D63" s="88">
        <f>2/226</f>
        <v>8.8495575221238937E-3</v>
      </c>
      <c r="E63" s="88"/>
      <c r="F63" s="88">
        <f>13/226</f>
        <v>5.7522123893805309E-2</v>
      </c>
      <c r="G63" s="88"/>
      <c r="H63" s="88"/>
      <c r="I63" s="88">
        <f>42/226</f>
        <v>0.18584070796460178</v>
      </c>
      <c r="J63" s="88"/>
      <c r="K63" s="88">
        <f>167/226</f>
        <v>0.73893805309734517</v>
      </c>
      <c r="L63" s="88"/>
      <c r="M63" s="88"/>
      <c r="N63" s="88">
        <f>1/226</f>
        <v>4.4247787610619468E-3</v>
      </c>
      <c r="O63" s="89"/>
      <c r="P63" s="18">
        <f>A63+D63+F63+I63+K63+N63</f>
        <v>1</v>
      </c>
    </row>
    <row r="64" spans="1:16" x14ac:dyDescent="0.3">
      <c r="A64" s="110" t="s">
        <v>71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9"/>
    </row>
    <row r="65" spans="1:16" ht="33.75" customHeight="1" x14ac:dyDescent="0.3">
      <c r="A65" s="93">
        <v>1</v>
      </c>
      <c r="B65" s="80"/>
      <c r="C65" s="80"/>
      <c r="D65" s="80">
        <v>2</v>
      </c>
      <c r="E65" s="80"/>
      <c r="F65" s="81">
        <v>3</v>
      </c>
      <c r="G65" s="94"/>
      <c r="H65" s="93"/>
      <c r="I65" s="80">
        <v>4</v>
      </c>
      <c r="J65" s="80"/>
      <c r="K65" s="80">
        <v>5</v>
      </c>
      <c r="L65" s="80"/>
      <c r="M65" s="80"/>
      <c r="N65" s="80" t="s">
        <v>0</v>
      </c>
      <c r="O65" s="81"/>
      <c r="P65" s="19"/>
    </row>
    <row r="66" spans="1:16" x14ac:dyDescent="0.3">
      <c r="A66" s="87">
        <f>1/226</f>
        <v>4.4247787610619468E-3</v>
      </c>
      <c r="B66" s="88"/>
      <c r="C66" s="88"/>
      <c r="D66" s="88">
        <f>2/226</f>
        <v>8.8495575221238937E-3</v>
      </c>
      <c r="E66" s="88"/>
      <c r="F66" s="88">
        <f>18/226</f>
        <v>7.9646017699115043E-2</v>
      </c>
      <c r="G66" s="88"/>
      <c r="H66" s="88"/>
      <c r="I66" s="88">
        <f>45/226</f>
        <v>0.19911504424778761</v>
      </c>
      <c r="J66" s="88"/>
      <c r="K66" s="88">
        <f>160/226</f>
        <v>0.70796460176991149</v>
      </c>
      <c r="L66" s="88"/>
      <c r="M66" s="88"/>
      <c r="N66" s="88">
        <f>0/226</f>
        <v>0</v>
      </c>
      <c r="O66" s="89"/>
      <c r="P66" s="18">
        <f>A66+D66+F66+I66+K66+N66</f>
        <v>1</v>
      </c>
    </row>
    <row r="67" spans="1:16" x14ac:dyDescent="0.3">
      <c r="A67" s="110" t="s">
        <v>72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9"/>
    </row>
    <row r="68" spans="1:16" ht="32.25" customHeight="1" x14ac:dyDescent="0.3">
      <c r="A68" s="93">
        <v>1</v>
      </c>
      <c r="B68" s="80"/>
      <c r="C68" s="80"/>
      <c r="D68" s="80">
        <v>2</v>
      </c>
      <c r="E68" s="80"/>
      <c r="F68" s="81">
        <v>3</v>
      </c>
      <c r="G68" s="94"/>
      <c r="H68" s="93"/>
      <c r="I68" s="80">
        <v>4</v>
      </c>
      <c r="J68" s="80"/>
      <c r="K68" s="80">
        <v>5</v>
      </c>
      <c r="L68" s="80"/>
      <c r="M68" s="80"/>
      <c r="N68" s="80" t="s">
        <v>0</v>
      </c>
      <c r="O68" s="81"/>
      <c r="P68" s="19"/>
    </row>
    <row r="69" spans="1:16" x14ac:dyDescent="0.3">
      <c r="A69" s="87">
        <f>1/226</f>
        <v>4.4247787610619468E-3</v>
      </c>
      <c r="B69" s="88"/>
      <c r="C69" s="88"/>
      <c r="D69" s="88">
        <f>3/226</f>
        <v>1.3274336283185841E-2</v>
      </c>
      <c r="E69" s="88"/>
      <c r="F69" s="88">
        <f>18/226</f>
        <v>7.9646017699115043E-2</v>
      </c>
      <c r="G69" s="88"/>
      <c r="H69" s="88"/>
      <c r="I69" s="88">
        <f>44/226</f>
        <v>0.19469026548672566</v>
      </c>
      <c r="J69" s="88"/>
      <c r="K69" s="88">
        <f>160/226</f>
        <v>0.70796460176991149</v>
      </c>
      <c r="L69" s="88"/>
      <c r="M69" s="88"/>
      <c r="N69" s="88">
        <f>0/226</f>
        <v>0</v>
      </c>
      <c r="O69" s="89"/>
      <c r="P69" s="18">
        <f>A69+D69+F69+I69+K69+N69</f>
        <v>1</v>
      </c>
    </row>
    <row r="70" spans="1:16" x14ac:dyDescent="0.3">
      <c r="A70" s="110" t="s">
        <v>73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9"/>
    </row>
    <row r="71" spans="1:16" x14ac:dyDescent="0.3">
      <c r="A71" s="93">
        <v>1</v>
      </c>
      <c r="B71" s="80"/>
      <c r="C71" s="80"/>
      <c r="D71" s="80">
        <v>2</v>
      </c>
      <c r="E71" s="80"/>
      <c r="F71" s="81">
        <v>3</v>
      </c>
      <c r="G71" s="94"/>
      <c r="H71" s="93"/>
      <c r="I71" s="80">
        <v>4</v>
      </c>
      <c r="J71" s="80"/>
      <c r="K71" s="80">
        <v>5</v>
      </c>
      <c r="L71" s="80"/>
      <c r="M71" s="80"/>
      <c r="N71" s="80" t="s">
        <v>0</v>
      </c>
      <c r="O71" s="81"/>
      <c r="P71" s="19"/>
    </row>
    <row r="72" spans="1:16" x14ac:dyDescent="0.3">
      <c r="A72" s="87">
        <f>1/226</f>
        <v>4.4247787610619468E-3</v>
      </c>
      <c r="B72" s="88"/>
      <c r="C72" s="88"/>
      <c r="D72" s="88">
        <f>1/226</f>
        <v>4.4247787610619468E-3</v>
      </c>
      <c r="E72" s="88"/>
      <c r="F72" s="88">
        <f>16/226</f>
        <v>7.0796460176991149E-2</v>
      </c>
      <c r="G72" s="88"/>
      <c r="H72" s="88"/>
      <c r="I72" s="88">
        <f>45/226</f>
        <v>0.19911504424778761</v>
      </c>
      <c r="J72" s="88"/>
      <c r="K72" s="88">
        <f>163/226</f>
        <v>0.72123893805309736</v>
      </c>
      <c r="L72" s="88"/>
      <c r="M72" s="88"/>
      <c r="N72" s="88">
        <f>0/226</f>
        <v>0</v>
      </c>
      <c r="O72" s="89"/>
      <c r="P72" s="19"/>
    </row>
    <row r="73" spans="1:16" ht="22.5" customHeight="1" x14ac:dyDescent="0.3">
      <c r="A73" s="111" t="s">
        <v>74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9"/>
    </row>
    <row r="74" spans="1:16" ht="27" customHeight="1" x14ac:dyDescent="0.3">
      <c r="A74" s="93" t="s">
        <v>52</v>
      </c>
      <c r="B74" s="80"/>
      <c r="C74" s="80"/>
      <c r="D74" s="80"/>
      <c r="E74" s="80" t="s">
        <v>51</v>
      </c>
      <c r="F74" s="80"/>
      <c r="G74" s="80"/>
      <c r="H74" s="80"/>
      <c r="I74" s="80" t="s">
        <v>75</v>
      </c>
      <c r="J74" s="80"/>
      <c r="K74" s="80"/>
      <c r="L74" s="80"/>
      <c r="M74" s="80" t="s">
        <v>0</v>
      </c>
      <c r="N74" s="80"/>
      <c r="O74" s="81"/>
      <c r="P74" s="19"/>
    </row>
    <row r="75" spans="1:16" x14ac:dyDescent="0.3">
      <c r="A75" s="87">
        <f>51/226</f>
        <v>0.22566371681415928</v>
      </c>
      <c r="B75" s="88"/>
      <c r="C75" s="88"/>
      <c r="D75" s="88"/>
      <c r="E75" s="88">
        <f>34/226</f>
        <v>0.15044247787610621</v>
      </c>
      <c r="F75" s="88"/>
      <c r="G75" s="88"/>
      <c r="H75" s="88"/>
      <c r="I75" s="88">
        <f>141/226</f>
        <v>0.62389380530973448</v>
      </c>
      <c r="J75" s="88"/>
      <c r="K75" s="88"/>
      <c r="L75" s="88"/>
      <c r="M75" s="88">
        <f>0/226</f>
        <v>0</v>
      </c>
      <c r="N75" s="88"/>
      <c r="O75" s="89"/>
      <c r="P75" s="18">
        <f>SUM(A75:O75)</f>
        <v>1</v>
      </c>
    </row>
    <row r="76" spans="1:16" ht="35.25" customHeight="1" x14ac:dyDescent="0.3">
      <c r="A76" s="119" t="s">
        <v>76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9"/>
    </row>
    <row r="77" spans="1:16" s="21" customFormat="1" ht="34.5" customHeight="1" x14ac:dyDescent="0.25">
      <c r="A77" s="116" t="s">
        <v>77</v>
      </c>
      <c r="B77" s="117"/>
      <c r="C77" s="80">
        <v>2</v>
      </c>
      <c r="D77" s="80"/>
      <c r="E77" s="80">
        <v>3</v>
      </c>
      <c r="F77" s="80"/>
      <c r="G77" s="80">
        <v>4</v>
      </c>
      <c r="H77" s="80"/>
      <c r="I77" s="80">
        <v>5</v>
      </c>
      <c r="J77" s="80"/>
      <c r="K77" s="80" t="s">
        <v>78</v>
      </c>
      <c r="L77" s="80"/>
      <c r="M77" s="80"/>
      <c r="N77" s="80" t="s">
        <v>0</v>
      </c>
      <c r="O77" s="81"/>
      <c r="P77" s="19"/>
    </row>
    <row r="78" spans="1:16" s="1" customFormat="1" ht="18.75" customHeight="1" x14ac:dyDescent="0.25">
      <c r="A78" s="87">
        <f>3/226</f>
        <v>1.3274336283185841E-2</v>
      </c>
      <c r="B78" s="88"/>
      <c r="C78" s="88">
        <f>1/226</f>
        <v>4.4247787610619468E-3</v>
      </c>
      <c r="D78" s="88"/>
      <c r="E78" s="88">
        <f>8/226</f>
        <v>3.5398230088495575E-2</v>
      </c>
      <c r="F78" s="88"/>
      <c r="G78" s="88">
        <f>11/226</f>
        <v>4.8672566371681415E-2</v>
      </c>
      <c r="H78" s="88"/>
      <c r="I78" s="88">
        <f>44/226</f>
        <v>0.19469026548672566</v>
      </c>
      <c r="J78" s="88"/>
      <c r="K78" s="89">
        <f>158/226</f>
        <v>0.69911504424778759</v>
      </c>
      <c r="L78" s="118"/>
      <c r="M78" s="87"/>
      <c r="N78" s="89">
        <f>1/226</f>
        <v>4.4247787610619468E-3</v>
      </c>
      <c r="O78" s="118"/>
      <c r="P78" s="18">
        <f>A78+C78+E78+G78+I78+K78+N78</f>
        <v>1</v>
      </c>
    </row>
    <row r="79" spans="1:16" ht="33" customHeight="1" x14ac:dyDescent="0.3">
      <c r="A79" s="113" t="s">
        <v>79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9"/>
    </row>
    <row r="80" spans="1:16" ht="31.5" customHeight="1" x14ac:dyDescent="0.3">
      <c r="A80" s="93" t="s">
        <v>52</v>
      </c>
      <c r="B80" s="80"/>
      <c r="C80" s="80"/>
      <c r="D80" s="80"/>
      <c r="E80" s="80" t="s">
        <v>51</v>
      </c>
      <c r="F80" s="80"/>
      <c r="G80" s="80"/>
      <c r="H80" s="80"/>
      <c r="I80" s="80" t="s">
        <v>75</v>
      </c>
      <c r="J80" s="80"/>
      <c r="K80" s="80"/>
      <c r="L80" s="80"/>
      <c r="M80" s="80" t="s">
        <v>0</v>
      </c>
      <c r="N80" s="80"/>
      <c r="O80" s="81"/>
      <c r="P80" s="19"/>
    </row>
    <row r="81" spans="1:16" x14ac:dyDescent="0.3">
      <c r="A81" s="114">
        <f>25/226</f>
        <v>0.11061946902654868</v>
      </c>
      <c r="B81" s="115"/>
      <c r="C81" s="115"/>
      <c r="D81" s="115"/>
      <c r="E81" s="115">
        <f>165/226</f>
        <v>0.73008849557522126</v>
      </c>
      <c r="F81" s="115"/>
      <c r="G81" s="115"/>
      <c r="H81" s="115"/>
      <c r="I81" s="115">
        <f>36/226</f>
        <v>0.15929203539823009</v>
      </c>
      <c r="J81" s="115"/>
      <c r="K81" s="115"/>
      <c r="L81" s="115"/>
      <c r="M81" s="88">
        <f>0/226</f>
        <v>0</v>
      </c>
      <c r="N81" s="88"/>
      <c r="O81" s="89"/>
      <c r="P81" s="18">
        <f>SUM(A81:O81)</f>
        <v>1</v>
      </c>
    </row>
    <row r="82" spans="1:16" ht="33.75" customHeight="1" x14ac:dyDescent="0.3">
      <c r="A82" s="113" t="s">
        <v>80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20"/>
    </row>
    <row r="83" spans="1:16" ht="36.75" customHeight="1" x14ac:dyDescent="0.3">
      <c r="A83" s="93">
        <v>1</v>
      </c>
      <c r="B83" s="80"/>
      <c r="C83" s="80"/>
      <c r="D83" s="80">
        <v>2</v>
      </c>
      <c r="E83" s="80"/>
      <c r="F83" s="81">
        <v>3</v>
      </c>
      <c r="G83" s="94"/>
      <c r="H83" s="93"/>
      <c r="I83" s="80">
        <v>4</v>
      </c>
      <c r="J83" s="80"/>
      <c r="K83" s="80">
        <v>5</v>
      </c>
      <c r="L83" s="80"/>
      <c r="M83" s="80"/>
      <c r="N83" s="80" t="s">
        <v>0</v>
      </c>
      <c r="O83" s="81"/>
      <c r="P83" s="20"/>
    </row>
    <row r="84" spans="1:16" x14ac:dyDescent="0.3">
      <c r="A84" s="87">
        <f>0/226</f>
        <v>0</v>
      </c>
      <c r="B84" s="88"/>
      <c r="C84" s="88"/>
      <c r="D84" s="88">
        <f>1/226</f>
        <v>4.4247787610619468E-3</v>
      </c>
      <c r="E84" s="88"/>
      <c r="F84" s="88">
        <f>32/226</f>
        <v>0.1415929203539823</v>
      </c>
      <c r="G84" s="88"/>
      <c r="H84" s="88"/>
      <c r="I84" s="88">
        <f>71/226</f>
        <v>0.31415929203539822</v>
      </c>
      <c r="J84" s="88"/>
      <c r="K84" s="88">
        <f>122/226</f>
        <v>0.53982300884955747</v>
      </c>
      <c r="L84" s="88"/>
      <c r="M84" s="88"/>
      <c r="N84" s="88">
        <f>0/226</f>
        <v>0</v>
      </c>
      <c r="O84" s="89"/>
      <c r="P84" s="18">
        <f t="shared" ref="P84" si="0">SUM(A84:O84)</f>
        <v>1</v>
      </c>
    </row>
    <row r="85" spans="1:16" x14ac:dyDescent="0.3">
      <c r="A85" s="109" t="s">
        <v>24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</row>
    <row r="86" spans="1:16" x14ac:dyDescent="0.3">
      <c r="P86" s="19"/>
    </row>
    <row r="87" spans="1:16" x14ac:dyDescent="0.3">
      <c r="A87" s="79" t="s">
        <v>5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</sheetData>
  <sheetProtection password="CC71" sheet="1" objects="1" scenarios="1"/>
  <mergeCells count="320">
    <mergeCell ref="A7:E7"/>
    <mergeCell ref="F7:J7"/>
    <mergeCell ref="K7:O7"/>
    <mergeCell ref="A8:O8"/>
    <mergeCell ref="A9:O9"/>
    <mergeCell ref="A10:O10"/>
    <mergeCell ref="A2:O2"/>
    <mergeCell ref="A3:O3"/>
    <mergeCell ref="A5:O5"/>
    <mergeCell ref="A6:E6"/>
    <mergeCell ref="F6:J6"/>
    <mergeCell ref="K6:O6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7:O17"/>
    <mergeCell ref="A16:O16"/>
    <mergeCell ref="A15:C15"/>
    <mergeCell ref="D15:E15"/>
    <mergeCell ref="F15:H15"/>
    <mergeCell ref="I15:J15"/>
    <mergeCell ref="K15:M15"/>
    <mergeCell ref="N15:O15"/>
    <mergeCell ref="A13:O13"/>
    <mergeCell ref="A14:C14"/>
    <mergeCell ref="D14:E14"/>
    <mergeCell ref="F14:H14"/>
    <mergeCell ref="I14:J14"/>
    <mergeCell ref="K14:M14"/>
    <mergeCell ref="N14:O14"/>
    <mergeCell ref="A19:C19"/>
    <mergeCell ref="D19:E19"/>
    <mergeCell ref="F19:H19"/>
    <mergeCell ref="I19:J19"/>
    <mergeCell ref="K19:M19"/>
    <mergeCell ref="N19:O19"/>
    <mergeCell ref="A18:C18"/>
    <mergeCell ref="D18:E18"/>
    <mergeCell ref="F18:H18"/>
    <mergeCell ref="I18:J18"/>
    <mergeCell ref="K18:M18"/>
    <mergeCell ref="N18:O18"/>
    <mergeCell ref="A20:O20"/>
    <mergeCell ref="A23:O23"/>
    <mergeCell ref="A26:O26"/>
    <mergeCell ref="A29:O29"/>
    <mergeCell ref="A32:O32"/>
    <mergeCell ref="A21:C21"/>
    <mergeCell ref="D21:E21"/>
    <mergeCell ref="F21:H21"/>
    <mergeCell ref="I21:J21"/>
    <mergeCell ref="K21:M21"/>
    <mergeCell ref="A24:C24"/>
    <mergeCell ref="D24:E24"/>
    <mergeCell ref="F24:H24"/>
    <mergeCell ref="I24:J24"/>
    <mergeCell ref="K24:M24"/>
    <mergeCell ref="N24:O24"/>
    <mergeCell ref="N21:O21"/>
    <mergeCell ref="A22:C22"/>
    <mergeCell ref="D22:E22"/>
    <mergeCell ref="F22:H22"/>
    <mergeCell ref="I22:J22"/>
    <mergeCell ref="K22:M22"/>
    <mergeCell ref="N22:O22"/>
    <mergeCell ref="A27:C27"/>
    <mergeCell ref="D27:E27"/>
    <mergeCell ref="F27:H27"/>
    <mergeCell ref="I27:J27"/>
    <mergeCell ref="K27:M27"/>
    <mergeCell ref="N27:O27"/>
    <mergeCell ref="A25:C25"/>
    <mergeCell ref="D25:E25"/>
    <mergeCell ref="F25:H25"/>
    <mergeCell ref="I25:J25"/>
    <mergeCell ref="K25:M25"/>
    <mergeCell ref="N25:O25"/>
    <mergeCell ref="A30:C30"/>
    <mergeCell ref="D30:E30"/>
    <mergeCell ref="F30:H30"/>
    <mergeCell ref="I30:J30"/>
    <mergeCell ref="K30:M30"/>
    <mergeCell ref="N30:O30"/>
    <mergeCell ref="A28:C28"/>
    <mergeCell ref="D28:E28"/>
    <mergeCell ref="F28:H28"/>
    <mergeCell ref="I28:J28"/>
    <mergeCell ref="K28:M28"/>
    <mergeCell ref="N28:O28"/>
    <mergeCell ref="A33:C33"/>
    <mergeCell ref="D33:E33"/>
    <mergeCell ref="F33:H33"/>
    <mergeCell ref="I33:J33"/>
    <mergeCell ref="K33:M33"/>
    <mergeCell ref="N33:O33"/>
    <mergeCell ref="A31:C31"/>
    <mergeCell ref="D31:E31"/>
    <mergeCell ref="F31:H31"/>
    <mergeCell ref="I31:J31"/>
    <mergeCell ref="K31:M31"/>
    <mergeCell ref="N31:O31"/>
    <mergeCell ref="A34:C34"/>
    <mergeCell ref="D34:E34"/>
    <mergeCell ref="F34:H34"/>
    <mergeCell ref="I34:J34"/>
    <mergeCell ref="K34:M34"/>
    <mergeCell ref="N34:O34"/>
    <mergeCell ref="A35:O35"/>
    <mergeCell ref="A36:C36"/>
    <mergeCell ref="D36:E36"/>
    <mergeCell ref="F36:H36"/>
    <mergeCell ref="I36:J36"/>
    <mergeCell ref="K36:M36"/>
    <mergeCell ref="N36:O36"/>
    <mergeCell ref="A47:C47"/>
    <mergeCell ref="D47:E47"/>
    <mergeCell ref="F47:H47"/>
    <mergeCell ref="I47:J47"/>
    <mergeCell ref="K47:M47"/>
    <mergeCell ref="N47:O47"/>
    <mergeCell ref="A49:C49"/>
    <mergeCell ref="D49:E49"/>
    <mergeCell ref="F49:H49"/>
    <mergeCell ref="I49:J49"/>
    <mergeCell ref="K49:M49"/>
    <mergeCell ref="N49:O49"/>
    <mergeCell ref="A48:O48"/>
    <mergeCell ref="A50:C50"/>
    <mergeCell ref="D50:E50"/>
    <mergeCell ref="F50:H50"/>
    <mergeCell ref="I50:J50"/>
    <mergeCell ref="K50:M50"/>
    <mergeCell ref="N50:O50"/>
    <mergeCell ref="A51:O51"/>
    <mergeCell ref="A52:C52"/>
    <mergeCell ref="D52:E52"/>
    <mergeCell ref="F52:H52"/>
    <mergeCell ref="I52:J52"/>
    <mergeCell ref="K52:M52"/>
    <mergeCell ref="N52:O52"/>
    <mergeCell ref="A57:C57"/>
    <mergeCell ref="D57:E57"/>
    <mergeCell ref="F57:H57"/>
    <mergeCell ref="I57:J57"/>
    <mergeCell ref="K57:M57"/>
    <mergeCell ref="N57:O57"/>
    <mergeCell ref="A54:O54"/>
    <mergeCell ref="A55:O55"/>
    <mergeCell ref="A56:C56"/>
    <mergeCell ref="D56:E56"/>
    <mergeCell ref="F56:H56"/>
    <mergeCell ref="I56:J56"/>
    <mergeCell ref="K56:M56"/>
    <mergeCell ref="N56:O56"/>
    <mergeCell ref="A60:C60"/>
    <mergeCell ref="D60:E60"/>
    <mergeCell ref="F60:H60"/>
    <mergeCell ref="I60:J60"/>
    <mergeCell ref="K60:M60"/>
    <mergeCell ref="N60:O60"/>
    <mergeCell ref="A58:O58"/>
    <mergeCell ref="A59:C59"/>
    <mergeCell ref="D59:E59"/>
    <mergeCell ref="F59:H59"/>
    <mergeCell ref="I59:J59"/>
    <mergeCell ref="K59:M59"/>
    <mergeCell ref="N59:O59"/>
    <mergeCell ref="A63:C63"/>
    <mergeCell ref="D63:E63"/>
    <mergeCell ref="F63:H63"/>
    <mergeCell ref="I63:J63"/>
    <mergeCell ref="K63:M63"/>
    <mergeCell ref="N63:O63"/>
    <mergeCell ref="A61:O61"/>
    <mergeCell ref="A62:C62"/>
    <mergeCell ref="D62:E62"/>
    <mergeCell ref="F62:H62"/>
    <mergeCell ref="I62:J62"/>
    <mergeCell ref="K62:M62"/>
    <mergeCell ref="N62:O62"/>
    <mergeCell ref="F66:H66"/>
    <mergeCell ref="I66:J66"/>
    <mergeCell ref="K66:M66"/>
    <mergeCell ref="N66:O66"/>
    <mergeCell ref="A64:O64"/>
    <mergeCell ref="A65:C65"/>
    <mergeCell ref="D65:E65"/>
    <mergeCell ref="F65:H65"/>
    <mergeCell ref="I65:J65"/>
    <mergeCell ref="K65:M65"/>
    <mergeCell ref="N65:O65"/>
    <mergeCell ref="A76:O76"/>
    <mergeCell ref="A75:D75"/>
    <mergeCell ref="E75:H75"/>
    <mergeCell ref="I75:L75"/>
    <mergeCell ref="M75:O75"/>
    <mergeCell ref="K77:M77"/>
    <mergeCell ref="N77:O77"/>
    <mergeCell ref="A73:O73"/>
    <mergeCell ref="M74:O74"/>
    <mergeCell ref="A74:D74"/>
    <mergeCell ref="E74:H74"/>
    <mergeCell ref="I74:L74"/>
    <mergeCell ref="A79:O79"/>
    <mergeCell ref="A77:B77"/>
    <mergeCell ref="K78:M78"/>
    <mergeCell ref="N78:O78"/>
    <mergeCell ref="I78:J78"/>
    <mergeCell ref="C77:D77"/>
    <mergeCell ref="I77:J77"/>
    <mergeCell ref="A78:B78"/>
    <mergeCell ref="C78:D78"/>
    <mergeCell ref="E78:F78"/>
    <mergeCell ref="G78:H78"/>
    <mergeCell ref="E77:F77"/>
    <mergeCell ref="G77:H77"/>
    <mergeCell ref="A82:O82"/>
    <mergeCell ref="A80:D80"/>
    <mergeCell ref="E80:H80"/>
    <mergeCell ref="I80:L80"/>
    <mergeCell ref="M80:O80"/>
    <mergeCell ref="A81:D81"/>
    <mergeCell ref="E81:H81"/>
    <mergeCell ref="I81:L81"/>
    <mergeCell ref="M81:O81"/>
    <mergeCell ref="A85:O85"/>
    <mergeCell ref="A84:C84"/>
    <mergeCell ref="D84:E84"/>
    <mergeCell ref="F84:H84"/>
    <mergeCell ref="I84:J84"/>
    <mergeCell ref="K84:M84"/>
    <mergeCell ref="N84:O84"/>
    <mergeCell ref="A83:C83"/>
    <mergeCell ref="D83:E83"/>
    <mergeCell ref="F83:H83"/>
    <mergeCell ref="I83:J83"/>
    <mergeCell ref="K83:M83"/>
    <mergeCell ref="N83:O83"/>
    <mergeCell ref="I37:J37"/>
    <mergeCell ref="K37:M37"/>
    <mergeCell ref="N37:O37"/>
    <mergeCell ref="A38:O38"/>
    <mergeCell ref="A39:C39"/>
    <mergeCell ref="D39:E39"/>
    <mergeCell ref="F39:H39"/>
    <mergeCell ref="I39:J39"/>
    <mergeCell ref="K39:M39"/>
    <mergeCell ref="N39:O39"/>
    <mergeCell ref="A37:C37"/>
    <mergeCell ref="D37:E37"/>
    <mergeCell ref="F37:H37"/>
    <mergeCell ref="A40:C40"/>
    <mergeCell ref="D40:E40"/>
    <mergeCell ref="F40:H40"/>
    <mergeCell ref="I40:J40"/>
    <mergeCell ref="K40:M40"/>
    <mergeCell ref="N40:O40"/>
    <mergeCell ref="A43:C43"/>
    <mergeCell ref="D43:E43"/>
    <mergeCell ref="F43:H43"/>
    <mergeCell ref="I43:J43"/>
    <mergeCell ref="K43:M43"/>
    <mergeCell ref="N43:O43"/>
    <mergeCell ref="A41:O41"/>
    <mergeCell ref="A42:O42"/>
    <mergeCell ref="K69:M69"/>
    <mergeCell ref="A44:C44"/>
    <mergeCell ref="D44:E44"/>
    <mergeCell ref="F44:H44"/>
    <mergeCell ref="I44:J44"/>
    <mergeCell ref="K44:M44"/>
    <mergeCell ref="N44:O44"/>
    <mergeCell ref="A46:C46"/>
    <mergeCell ref="D46:E46"/>
    <mergeCell ref="F46:H46"/>
    <mergeCell ref="I46:J46"/>
    <mergeCell ref="K46:M46"/>
    <mergeCell ref="N46:O46"/>
    <mergeCell ref="A45:O45"/>
    <mergeCell ref="N69:O69"/>
    <mergeCell ref="A67:O67"/>
    <mergeCell ref="A68:C68"/>
    <mergeCell ref="D68:E68"/>
    <mergeCell ref="F68:H68"/>
    <mergeCell ref="I68:J68"/>
    <mergeCell ref="K68:M68"/>
    <mergeCell ref="N68:O68"/>
    <mergeCell ref="A66:C66"/>
    <mergeCell ref="D66:E66"/>
    <mergeCell ref="A87:O87"/>
    <mergeCell ref="A72:C72"/>
    <mergeCell ref="D72:E72"/>
    <mergeCell ref="F72:H72"/>
    <mergeCell ref="I72:J72"/>
    <mergeCell ref="K72:M72"/>
    <mergeCell ref="N72:O72"/>
    <mergeCell ref="A53:C53"/>
    <mergeCell ref="D53:E53"/>
    <mergeCell ref="F53:H53"/>
    <mergeCell ref="I53:J53"/>
    <mergeCell ref="K53:M53"/>
    <mergeCell ref="N53:O53"/>
    <mergeCell ref="A70:O70"/>
    <mergeCell ref="A71:C71"/>
    <mergeCell ref="D71:E71"/>
    <mergeCell ref="F71:H71"/>
    <mergeCell ref="I71:J71"/>
    <mergeCell ref="K71:M71"/>
    <mergeCell ref="N71:O71"/>
    <mergeCell ref="A69:C69"/>
    <mergeCell ref="D69:E69"/>
    <mergeCell ref="F69:H69"/>
    <mergeCell ref="I69:J69"/>
  </mergeCells>
  <pageMargins left="0" right="0" top="0" bottom="0" header="0" footer="0"/>
  <pageSetup paperSize="9"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87"/>
  <sheetViews>
    <sheetView workbookViewId="0">
      <selection activeCell="S1" sqref="S1:U1048576"/>
    </sheetView>
  </sheetViews>
  <sheetFormatPr defaultRowHeight="16.5" x14ac:dyDescent="0.25"/>
  <cols>
    <col min="1" max="15" width="7.28515625" style="1" customWidth="1"/>
    <col min="16" max="18" width="6.28515625" style="1" customWidth="1"/>
    <col min="19" max="19" width="10.5703125" style="1" customWidth="1"/>
    <col min="20" max="20" width="15.140625" style="8" hidden="1" customWidth="1"/>
    <col min="21" max="22" width="9.140625" style="1" customWidth="1"/>
    <col min="23" max="16384" width="9.140625" style="1"/>
  </cols>
  <sheetData>
    <row r="1" spans="1:20" x14ac:dyDescent="0.25">
      <c r="A1" s="77" t="s">
        <v>235</v>
      </c>
      <c r="T1" s="76"/>
    </row>
    <row r="2" spans="1:20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20" ht="17.25" x14ac:dyDescent="0.3">
      <c r="A3" s="152" t="s">
        <v>232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20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ht="33" customHeight="1" x14ac:dyDescent="0.25">
      <c r="A5" s="146" t="s">
        <v>145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20" ht="17.25" x14ac:dyDescent="0.25">
      <c r="A6" s="147" t="s">
        <v>146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20" ht="24.75" customHeight="1" x14ac:dyDescent="0.25">
      <c r="A7" s="80">
        <v>1</v>
      </c>
      <c r="B7" s="80"/>
      <c r="C7" s="80"/>
      <c r="D7" s="80">
        <v>2</v>
      </c>
      <c r="E7" s="80"/>
      <c r="F7" s="80"/>
      <c r="G7" s="81">
        <v>3</v>
      </c>
      <c r="H7" s="94"/>
      <c r="I7" s="93"/>
      <c r="J7" s="80">
        <v>4</v>
      </c>
      <c r="K7" s="80"/>
      <c r="L7" s="80"/>
      <c r="M7" s="80">
        <v>5</v>
      </c>
      <c r="N7" s="80"/>
      <c r="O7" s="80"/>
      <c r="P7" s="144" t="s">
        <v>109</v>
      </c>
      <c r="Q7" s="144"/>
      <c r="R7" s="144"/>
      <c r="S7" s="15" t="s">
        <v>0</v>
      </c>
    </row>
    <row r="8" spans="1:20" ht="15" customHeight="1" x14ac:dyDescent="0.25">
      <c r="A8" s="140">
        <f>121/634</f>
        <v>0.19085173501577288</v>
      </c>
      <c r="B8" s="140"/>
      <c r="C8" s="140"/>
      <c r="D8" s="140">
        <f>111/634</f>
        <v>0.1750788643533123</v>
      </c>
      <c r="E8" s="140"/>
      <c r="F8" s="140"/>
      <c r="G8" s="140">
        <f>176/634</f>
        <v>0.27760252365930599</v>
      </c>
      <c r="H8" s="140"/>
      <c r="I8" s="140"/>
      <c r="J8" s="140">
        <f>138/634</f>
        <v>0.21766561514195584</v>
      </c>
      <c r="K8" s="140"/>
      <c r="L8" s="140"/>
      <c r="M8" s="140">
        <f>82/634</f>
        <v>0.12933753943217666</v>
      </c>
      <c r="N8" s="140"/>
      <c r="O8" s="140"/>
      <c r="P8" s="140">
        <f>6/634</f>
        <v>9.4637223974763408E-3</v>
      </c>
      <c r="Q8" s="140"/>
      <c r="R8" s="140"/>
      <c r="S8" s="7">
        <f>0/634</f>
        <v>0</v>
      </c>
      <c r="T8" s="12">
        <f>SUM(A8:S8)</f>
        <v>1</v>
      </c>
    </row>
    <row r="9" spans="1:20" ht="15" customHeight="1" x14ac:dyDescent="0.25">
      <c r="A9" s="147" t="s">
        <v>110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9"/>
    </row>
    <row r="10" spans="1:20" ht="27" customHeight="1" x14ac:dyDescent="0.25">
      <c r="A10" s="80">
        <v>1</v>
      </c>
      <c r="B10" s="80"/>
      <c r="C10" s="80"/>
      <c r="D10" s="80">
        <v>2</v>
      </c>
      <c r="E10" s="80"/>
      <c r="F10" s="80"/>
      <c r="G10" s="81">
        <v>3</v>
      </c>
      <c r="H10" s="94"/>
      <c r="I10" s="93"/>
      <c r="J10" s="80">
        <v>4</v>
      </c>
      <c r="K10" s="80"/>
      <c r="L10" s="80"/>
      <c r="M10" s="80">
        <v>5</v>
      </c>
      <c r="N10" s="80"/>
      <c r="O10" s="80"/>
      <c r="P10" s="144" t="s">
        <v>109</v>
      </c>
      <c r="Q10" s="144"/>
      <c r="R10" s="144"/>
      <c r="S10" s="15" t="s">
        <v>0</v>
      </c>
      <c r="T10" s="9"/>
    </row>
    <row r="11" spans="1:20" ht="15" customHeight="1" x14ac:dyDescent="0.25">
      <c r="A11" s="88">
        <f>136/634</f>
        <v>0.21451104100946372</v>
      </c>
      <c r="B11" s="88"/>
      <c r="C11" s="88"/>
      <c r="D11" s="88">
        <f>118/634</f>
        <v>0.18611987381703471</v>
      </c>
      <c r="E11" s="88"/>
      <c r="F11" s="88"/>
      <c r="G11" s="88">
        <f>165/634</f>
        <v>0.26025236593059936</v>
      </c>
      <c r="H11" s="88"/>
      <c r="I11" s="88"/>
      <c r="J11" s="88">
        <f>123/634</f>
        <v>0.19400630914826497</v>
      </c>
      <c r="K11" s="88"/>
      <c r="L11" s="88"/>
      <c r="M11" s="88">
        <f>87/634</f>
        <v>0.13722397476340695</v>
      </c>
      <c r="N11" s="88"/>
      <c r="O11" s="88"/>
      <c r="P11" s="88">
        <f>5/634</f>
        <v>7.8864353312302835E-3</v>
      </c>
      <c r="Q11" s="88"/>
      <c r="R11" s="88"/>
      <c r="S11" s="6">
        <f>0/634</f>
        <v>0</v>
      </c>
      <c r="T11" s="12">
        <f>SUM(A11:S11)</f>
        <v>1</v>
      </c>
    </row>
    <row r="12" spans="1:20" ht="15" customHeight="1" x14ac:dyDescent="0.25">
      <c r="A12" s="147" t="s">
        <v>111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9"/>
    </row>
    <row r="13" spans="1:20" ht="21.75" customHeight="1" x14ac:dyDescent="0.25">
      <c r="A13" s="80">
        <v>1</v>
      </c>
      <c r="B13" s="80"/>
      <c r="C13" s="80"/>
      <c r="D13" s="80">
        <v>2</v>
      </c>
      <c r="E13" s="80"/>
      <c r="F13" s="80"/>
      <c r="G13" s="81">
        <v>3</v>
      </c>
      <c r="H13" s="94"/>
      <c r="I13" s="93"/>
      <c r="J13" s="80">
        <v>4</v>
      </c>
      <c r="K13" s="80"/>
      <c r="L13" s="80"/>
      <c r="M13" s="80">
        <v>5</v>
      </c>
      <c r="N13" s="80"/>
      <c r="O13" s="80"/>
      <c r="P13" s="144" t="s">
        <v>109</v>
      </c>
      <c r="Q13" s="144"/>
      <c r="R13" s="144"/>
      <c r="S13" s="30" t="s">
        <v>0</v>
      </c>
      <c r="T13" s="9"/>
    </row>
    <row r="14" spans="1:20" ht="15" customHeight="1" x14ac:dyDescent="0.25">
      <c r="A14" s="88">
        <f>94/634</f>
        <v>0.14826498422712933</v>
      </c>
      <c r="B14" s="88"/>
      <c r="C14" s="88"/>
      <c r="D14" s="88">
        <f>83/634</f>
        <v>0.1309148264984227</v>
      </c>
      <c r="E14" s="88"/>
      <c r="F14" s="88"/>
      <c r="G14" s="88">
        <f>176/634</f>
        <v>0.27760252365930599</v>
      </c>
      <c r="H14" s="88"/>
      <c r="I14" s="88"/>
      <c r="J14" s="88">
        <f>155/634</f>
        <v>0.24447949526813881</v>
      </c>
      <c r="K14" s="88"/>
      <c r="L14" s="88"/>
      <c r="M14" s="88">
        <f>117/634</f>
        <v>0.18454258675078863</v>
      </c>
      <c r="N14" s="88"/>
      <c r="O14" s="88"/>
      <c r="P14" s="88">
        <f>9/634</f>
        <v>1.4195583596214511E-2</v>
      </c>
      <c r="Q14" s="88"/>
      <c r="R14" s="88"/>
      <c r="S14" s="6">
        <f>0/634</f>
        <v>0</v>
      </c>
      <c r="T14" s="12">
        <f>SUM(A14:S14)</f>
        <v>1</v>
      </c>
    </row>
    <row r="15" spans="1:20" ht="15" customHeight="1" x14ac:dyDescent="0.25">
      <c r="A15" s="147" t="s">
        <v>30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9"/>
    </row>
    <row r="16" spans="1:20" ht="21.75" customHeight="1" x14ac:dyDescent="0.25">
      <c r="A16" s="80">
        <v>1</v>
      </c>
      <c r="B16" s="80"/>
      <c r="C16" s="80"/>
      <c r="D16" s="80">
        <v>2</v>
      </c>
      <c r="E16" s="80"/>
      <c r="F16" s="80"/>
      <c r="G16" s="81">
        <v>3</v>
      </c>
      <c r="H16" s="94"/>
      <c r="I16" s="93"/>
      <c r="J16" s="80">
        <v>4</v>
      </c>
      <c r="K16" s="80"/>
      <c r="L16" s="80"/>
      <c r="M16" s="80">
        <v>5</v>
      </c>
      <c r="N16" s="80"/>
      <c r="O16" s="80"/>
      <c r="P16" s="144" t="s">
        <v>109</v>
      </c>
      <c r="Q16" s="144"/>
      <c r="R16" s="144"/>
      <c r="S16" s="15" t="s">
        <v>0</v>
      </c>
      <c r="T16" s="9"/>
    </row>
    <row r="17" spans="1:21" ht="15" customHeight="1" x14ac:dyDescent="0.25">
      <c r="A17" s="88">
        <f>129/634</f>
        <v>0.20347003154574134</v>
      </c>
      <c r="B17" s="88"/>
      <c r="C17" s="88"/>
      <c r="D17" s="88">
        <f>81/634</f>
        <v>0.12776025236593061</v>
      </c>
      <c r="E17" s="88"/>
      <c r="F17" s="88"/>
      <c r="G17" s="88">
        <f>181/634</f>
        <v>0.28548895899053628</v>
      </c>
      <c r="H17" s="88"/>
      <c r="I17" s="88"/>
      <c r="J17" s="88">
        <f>138/634</f>
        <v>0.21766561514195584</v>
      </c>
      <c r="K17" s="88"/>
      <c r="L17" s="88"/>
      <c r="M17" s="88">
        <f>95/634</f>
        <v>0.14984227129337541</v>
      </c>
      <c r="N17" s="88"/>
      <c r="O17" s="88"/>
      <c r="P17" s="88">
        <f>10/637</f>
        <v>1.5698587127158554E-2</v>
      </c>
      <c r="Q17" s="88"/>
      <c r="R17" s="88"/>
      <c r="S17" s="6">
        <f>0/634</f>
        <v>0</v>
      </c>
      <c r="T17" s="12">
        <f>SUM(A17:S17)</f>
        <v>0.99992571646469808</v>
      </c>
    </row>
    <row r="18" spans="1:21" ht="15" customHeight="1" x14ac:dyDescent="0.25">
      <c r="A18" s="147" t="s">
        <v>112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9"/>
    </row>
    <row r="19" spans="1:21" ht="22.5" customHeight="1" x14ac:dyDescent="0.25">
      <c r="A19" s="80">
        <v>1</v>
      </c>
      <c r="B19" s="80"/>
      <c r="C19" s="80"/>
      <c r="D19" s="80">
        <v>2</v>
      </c>
      <c r="E19" s="80"/>
      <c r="F19" s="80"/>
      <c r="G19" s="81">
        <v>3</v>
      </c>
      <c r="H19" s="94"/>
      <c r="I19" s="93"/>
      <c r="J19" s="80">
        <v>4</v>
      </c>
      <c r="K19" s="80"/>
      <c r="L19" s="80"/>
      <c r="M19" s="80">
        <v>5</v>
      </c>
      <c r="N19" s="80"/>
      <c r="O19" s="80"/>
      <c r="P19" s="144" t="s">
        <v>109</v>
      </c>
      <c r="Q19" s="144"/>
      <c r="R19" s="144"/>
      <c r="S19" s="15" t="s">
        <v>0</v>
      </c>
      <c r="T19" s="9"/>
    </row>
    <row r="20" spans="1:21" ht="15" customHeight="1" x14ac:dyDescent="0.25">
      <c r="A20" s="88">
        <f>137/634</f>
        <v>0.21608832807570977</v>
      </c>
      <c r="B20" s="88"/>
      <c r="C20" s="88"/>
      <c r="D20" s="88">
        <f>80/634</f>
        <v>0.12618296529968454</v>
      </c>
      <c r="E20" s="88"/>
      <c r="F20" s="88"/>
      <c r="G20" s="88">
        <f>144/634</f>
        <v>0.22712933753943218</v>
      </c>
      <c r="H20" s="88"/>
      <c r="I20" s="88"/>
      <c r="J20" s="88">
        <f>136/634</f>
        <v>0.21451104100946372</v>
      </c>
      <c r="K20" s="88"/>
      <c r="L20" s="88"/>
      <c r="M20" s="88">
        <f>131/634</f>
        <v>0.20662460567823343</v>
      </c>
      <c r="N20" s="88"/>
      <c r="O20" s="88"/>
      <c r="P20" s="88">
        <f>6/634</f>
        <v>9.4637223974763408E-3</v>
      </c>
      <c r="Q20" s="88"/>
      <c r="R20" s="88"/>
      <c r="S20" s="6">
        <f>0/634</f>
        <v>0</v>
      </c>
      <c r="T20" s="12">
        <f>SUM(A20:S20)</f>
        <v>1</v>
      </c>
    </row>
    <row r="21" spans="1:21" ht="15" customHeight="1" x14ac:dyDescent="0.3">
      <c r="A21" s="145" t="s">
        <v>113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9"/>
    </row>
    <row r="22" spans="1:21" ht="20.25" customHeight="1" x14ac:dyDescent="0.25">
      <c r="A22" s="80">
        <v>1</v>
      </c>
      <c r="B22" s="80"/>
      <c r="C22" s="80"/>
      <c r="D22" s="80">
        <v>2</v>
      </c>
      <c r="E22" s="80"/>
      <c r="F22" s="80"/>
      <c r="G22" s="81">
        <v>3</v>
      </c>
      <c r="H22" s="94"/>
      <c r="I22" s="93"/>
      <c r="J22" s="80">
        <v>4</v>
      </c>
      <c r="K22" s="80"/>
      <c r="L22" s="80"/>
      <c r="M22" s="80">
        <v>5</v>
      </c>
      <c r="N22" s="80"/>
      <c r="O22" s="80"/>
      <c r="P22" s="144" t="s">
        <v>109</v>
      </c>
      <c r="Q22" s="144"/>
      <c r="R22" s="144"/>
      <c r="S22" s="15" t="s">
        <v>0</v>
      </c>
      <c r="T22" s="9"/>
    </row>
    <row r="23" spans="1:21" x14ac:dyDescent="0.25">
      <c r="A23" s="88">
        <f>67/634</f>
        <v>0.1056782334384858</v>
      </c>
      <c r="B23" s="88"/>
      <c r="C23" s="88"/>
      <c r="D23" s="88">
        <f>45/634</f>
        <v>7.0977917981072558E-2</v>
      </c>
      <c r="E23" s="88"/>
      <c r="F23" s="88"/>
      <c r="G23" s="88">
        <f>112/634</f>
        <v>0.17665615141955837</v>
      </c>
      <c r="H23" s="88"/>
      <c r="I23" s="88"/>
      <c r="J23" s="88">
        <f>206/634</f>
        <v>0.32492113564668768</v>
      </c>
      <c r="K23" s="88"/>
      <c r="L23" s="88"/>
      <c r="M23" s="88">
        <f>198/634</f>
        <v>0.31230283911671924</v>
      </c>
      <c r="N23" s="88"/>
      <c r="O23" s="88"/>
      <c r="P23" s="88">
        <f>6/634</f>
        <v>9.4637223974763408E-3</v>
      </c>
      <c r="Q23" s="88"/>
      <c r="R23" s="88"/>
      <c r="S23" s="6">
        <f>0/634</f>
        <v>0</v>
      </c>
      <c r="T23" s="12">
        <f>SUM(A23:S23)</f>
        <v>1</v>
      </c>
    </row>
    <row r="24" spans="1:21" ht="17.25" x14ac:dyDescent="0.25">
      <c r="A24" s="150" t="s">
        <v>114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9"/>
    </row>
    <row r="25" spans="1:21" ht="21.75" customHeight="1" x14ac:dyDescent="0.25">
      <c r="A25" s="80">
        <v>1</v>
      </c>
      <c r="B25" s="80"/>
      <c r="C25" s="80"/>
      <c r="D25" s="80">
        <v>2</v>
      </c>
      <c r="E25" s="80"/>
      <c r="F25" s="80"/>
      <c r="G25" s="81">
        <v>3</v>
      </c>
      <c r="H25" s="94"/>
      <c r="I25" s="93"/>
      <c r="J25" s="80">
        <v>4</v>
      </c>
      <c r="K25" s="80"/>
      <c r="L25" s="80"/>
      <c r="M25" s="80">
        <v>5</v>
      </c>
      <c r="N25" s="80"/>
      <c r="O25" s="80"/>
      <c r="P25" s="144" t="s">
        <v>109</v>
      </c>
      <c r="Q25" s="144"/>
      <c r="R25" s="144"/>
      <c r="S25" s="15" t="s">
        <v>0</v>
      </c>
      <c r="T25" s="9"/>
    </row>
    <row r="26" spans="1:21" ht="15" customHeight="1" x14ac:dyDescent="0.25">
      <c r="A26" s="88">
        <f>91/634</f>
        <v>0.14353312302839116</v>
      </c>
      <c r="B26" s="88"/>
      <c r="C26" s="88"/>
      <c r="D26" s="88">
        <f>43/634</f>
        <v>6.7823343848580436E-2</v>
      </c>
      <c r="E26" s="88"/>
      <c r="F26" s="88"/>
      <c r="G26" s="88">
        <f>129/634</f>
        <v>0.20347003154574134</v>
      </c>
      <c r="H26" s="88"/>
      <c r="I26" s="88"/>
      <c r="J26" s="88">
        <f>156/634</f>
        <v>0.24605678233438485</v>
      </c>
      <c r="K26" s="88"/>
      <c r="L26" s="88"/>
      <c r="M26" s="88">
        <f>147/634</f>
        <v>0.23186119873817035</v>
      </c>
      <c r="N26" s="88"/>
      <c r="O26" s="88"/>
      <c r="P26" s="88">
        <f>68/634</f>
        <v>0.10725552050473186</v>
      </c>
      <c r="Q26" s="88"/>
      <c r="R26" s="88"/>
      <c r="S26" s="6">
        <f>0/634</f>
        <v>0</v>
      </c>
      <c r="T26" s="12">
        <f>SUM(A26:S26)</f>
        <v>1</v>
      </c>
    </row>
    <row r="27" spans="1:21" ht="17.25" x14ac:dyDescent="0.25">
      <c r="A27" s="150" t="s">
        <v>115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9"/>
    </row>
    <row r="28" spans="1:21" ht="19.5" customHeight="1" x14ac:dyDescent="0.25">
      <c r="A28" s="80">
        <v>1</v>
      </c>
      <c r="B28" s="80"/>
      <c r="C28" s="80"/>
      <c r="D28" s="80">
        <v>2</v>
      </c>
      <c r="E28" s="80"/>
      <c r="F28" s="80"/>
      <c r="G28" s="81">
        <v>3</v>
      </c>
      <c r="H28" s="94"/>
      <c r="I28" s="93"/>
      <c r="J28" s="80">
        <v>4</v>
      </c>
      <c r="K28" s="80"/>
      <c r="L28" s="80"/>
      <c r="M28" s="80">
        <v>5</v>
      </c>
      <c r="N28" s="80"/>
      <c r="O28" s="80"/>
      <c r="P28" s="144" t="s">
        <v>109</v>
      </c>
      <c r="Q28" s="144"/>
      <c r="R28" s="144"/>
      <c r="S28" s="15" t="s">
        <v>0</v>
      </c>
      <c r="T28" s="9"/>
    </row>
    <row r="29" spans="1:21" ht="13.5" customHeight="1" x14ac:dyDescent="0.25">
      <c r="A29" s="88">
        <f>149/634</f>
        <v>0.23501577287066247</v>
      </c>
      <c r="B29" s="88"/>
      <c r="C29" s="88"/>
      <c r="D29" s="88">
        <f>95/634</f>
        <v>0.14984227129337541</v>
      </c>
      <c r="E29" s="88"/>
      <c r="F29" s="88"/>
      <c r="G29" s="88">
        <f>164/634</f>
        <v>0.25867507886435331</v>
      </c>
      <c r="H29" s="88"/>
      <c r="I29" s="88"/>
      <c r="J29" s="88">
        <f>111/634</f>
        <v>0.1750788643533123</v>
      </c>
      <c r="K29" s="88"/>
      <c r="L29" s="88"/>
      <c r="M29" s="88">
        <f>95/634</f>
        <v>0.14984227129337541</v>
      </c>
      <c r="N29" s="88"/>
      <c r="O29" s="88"/>
      <c r="P29" s="88">
        <f>20/634</f>
        <v>3.1545741324921134E-2</v>
      </c>
      <c r="Q29" s="88"/>
      <c r="R29" s="88"/>
      <c r="S29" s="6">
        <f>0/634</f>
        <v>0</v>
      </c>
      <c r="T29" s="12">
        <f>SUM(A29:S29)</f>
        <v>1</v>
      </c>
    </row>
    <row r="30" spans="1:21" ht="15" customHeight="1" x14ac:dyDescent="0.3">
      <c r="A30" s="145" t="s">
        <v>116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9"/>
    </row>
    <row r="31" spans="1:21" ht="25.5" customHeight="1" x14ac:dyDescent="0.25">
      <c r="A31" s="80">
        <v>1</v>
      </c>
      <c r="B31" s="80"/>
      <c r="C31" s="80"/>
      <c r="D31" s="80">
        <v>2</v>
      </c>
      <c r="E31" s="80"/>
      <c r="F31" s="80"/>
      <c r="G31" s="81">
        <v>3</v>
      </c>
      <c r="H31" s="94"/>
      <c r="I31" s="93"/>
      <c r="J31" s="80">
        <v>4</v>
      </c>
      <c r="K31" s="80"/>
      <c r="L31" s="80"/>
      <c r="M31" s="80">
        <v>5</v>
      </c>
      <c r="N31" s="80"/>
      <c r="O31" s="80"/>
      <c r="P31" s="144" t="s">
        <v>109</v>
      </c>
      <c r="Q31" s="144"/>
      <c r="R31" s="144"/>
      <c r="S31" s="15" t="s">
        <v>0</v>
      </c>
      <c r="T31" s="9"/>
    </row>
    <row r="32" spans="1:21" x14ac:dyDescent="0.25">
      <c r="A32" s="88">
        <f>247/637</f>
        <v>0.38775510204081631</v>
      </c>
      <c r="B32" s="88"/>
      <c r="C32" s="88"/>
      <c r="D32" s="88">
        <f>118/634</f>
        <v>0.18611987381703471</v>
      </c>
      <c r="E32" s="88"/>
      <c r="F32" s="88"/>
      <c r="G32" s="88">
        <f>135/634</f>
        <v>0.21293375394321767</v>
      </c>
      <c r="H32" s="88"/>
      <c r="I32" s="88"/>
      <c r="J32" s="88">
        <f>77/634</f>
        <v>0.12145110410094637</v>
      </c>
      <c r="K32" s="88"/>
      <c r="L32" s="88"/>
      <c r="M32" s="88">
        <f>48/634</f>
        <v>7.5709779179810727E-2</v>
      </c>
      <c r="N32" s="88"/>
      <c r="O32" s="88"/>
      <c r="P32" s="88">
        <f>9/634</f>
        <v>1.4195583596214511E-2</v>
      </c>
      <c r="Q32" s="88"/>
      <c r="R32" s="88"/>
      <c r="S32" s="6">
        <f>0/634</f>
        <v>0</v>
      </c>
      <c r="T32" s="12">
        <f>SUM(A32:S32)</f>
        <v>0.99816519667804027</v>
      </c>
      <c r="U32" s="3"/>
    </row>
    <row r="33" spans="1:23" ht="15" customHeight="1" x14ac:dyDescent="0.3">
      <c r="A33" s="145" t="s">
        <v>117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9"/>
    </row>
    <row r="34" spans="1:23" ht="19.5" customHeight="1" x14ac:dyDescent="0.25">
      <c r="A34" s="80">
        <v>1</v>
      </c>
      <c r="B34" s="80"/>
      <c r="C34" s="80"/>
      <c r="D34" s="80">
        <v>2</v>
      </c>
      <c r="E34" s="80"/>
      <c r="F34" s="80"/>
      <c r="G34" s="81">
        <v>3</v>
      </c>
      <c r="H34" s="94"/>
      <c r="I34" s="93"/>
      <c r="J34" s="80">
        <v>4</v>
      </c>
      <c r="K34" s="80"/>
      <c r="L34" s="80"/>
      <c r="M34" s="80">
        <v>5</v>
      </c>
      <c r="N34" s="80"/>
      <c r="O34" s="80"/>
      <c r="P34" s="144" t="s">
        <v>109</v>
      </c>
      <c r="Q34" s="144"/>
      <c r="R34" s="144"/>
      <c r="S34" s="15" t="s">
        <v>0</v>
      </c>
      <c r="T34" s="9"/>
    </row>
    <row r="35" spans="1:23" ht="15" customHeight="1" x14ac:dyDescent="0.25">
      <c r="A35" s="88">
        <f>147/634</f>
        <v>0.23186119873817035</v>
      </c>
      <c r="B35" s="88"/>
      <c r="C35" s="88"/>
      <c r="D35" s="88">
        <f>101/634</f>
        <v>0.15930599369085174</v>
      </c>
      <c r="E35" s="88"/>
      <c r="F35" s="88"/>
      <c r="G35" s="88">
        <f>159/634</f>
        <v>0.25078864353312302</v>
      </c>
      <c r="H35" s="88"/>
      <c r="I35" s="88"/>
      <c r="J35" s="88">
        <f>125/634</f>
        <v>0.19716088328075709</v>
      </c>
      <c r="K35" s="88"/>
      <c r="L35" s="88"/>
      <c r="M35" s="88">
        <f>75/634</f>
        <v>0.11829652996845426</v>
      </c>
      <c r="N35" s="88"/>
      <c r="O35" s="88"/>
      <c r="P35" s="88">
        <f>27/634</f>
        <v>4.2586750788643532E-2</v>
      </c>
      <c r="Q35" s="88"/>
      <c r="R35" s="88"/>
      <c r="S35" s="6">
        <f>0/634</f>
        <v>0</v>
      </c>
      <c r="T35" s="12">
        <f>SUM(A35:S35)</f>
        <v>1</v>
      </c>
    </row>
    <row r="36" spans="1:23" ht="15" customHeight="1" x14ac:dyDescent="0.3">
      <c r="A36" s="145" t="s">
        <v>118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9"/>
    </row>
    <row r="37" spans="1:23" ht="24.75" customHeight="1" x14ac:dyDescent="0.25">
      <c r="A37" s="80">
        <v>1</v>
      </c>
      <c r="B37" s="80"/>
      <c r="C37" s="80"/>
      <c r="D37" s="80">
        <v>2</v>
      </c>
      <c r="E37" s="80"/>
      <c r="F37" s="80"/>
      <c r="G37" s="81">
        <v>3</v>
      </c>
      <c r="H37" s="94"/>
      <c r="I37" s="93"/>
      <c r="J37" s="80">
        <v>4</v>
      </c>
      <c r="K37" s="80"/>
      <c r="L37" s="80"/>
      <c r="M37" s="80">
        <v>5</v>
      </c>
      <c r="N37" s="80"/>
      <c r="O37" s="80"/>
      <c r="P37" s="144" t="s">
        <v>109</v>
      </c>
      <c r="Q37" s="144"/>
      <c r="R37" s="144"/>
      <c r="S37" s="15" t="s">
        <v>0</v>
      </c>
      <c r="T37" s="9"/>
    </row>
    <row r="38" spans="1:23" x14ac:dyDescent="0.25">
      <c r="A38" s="88">
        <f>112/634</f>
        <v>0.17665615141955837</v>
      </c>
      <c r="B38" s="88"/>
      <c r="C38" s="88"/>
      <c r="D38" s="88">
        <f>114/634</f>
        <v>0.17981072555205047</v>
      </c>
      <c r="E38" s="88"/>
      <c r="F38" s="88"/>
      <c r="G38" s="88">
        <f>167/634</f>
        <v>0.26340694006309151</v>
      </c>
      <c r="H38" s="88"/>
      <c r="I38" s="88"/>
      <c r="J38" s="88">
        <f>140/634</f>
        <v>0.22082018927444794</v>
      </c>
      <c r="K38" s="88"/>
      <c r="L38" s="88"/>
      <c r="M38" s="88">
        <f>89/634</f>
        <v>0.14037854889589904</v>
      </c>
      <c r="N38" s="88"/>
      <c r="O38" s="88"/>
      <c r="P38" s="88">
        <f>12/634</f>
        <v>1.8927444794952682E-2</v>
      </c>
      <c r="Q38" s="88"/>
      <c r="R38" s="88"/>
      <c r="S38" s="6">
        <f>0/634</f>
        <v>0</v>
      </c>
      <c r="T38" s="12">
        <f>SUM(A38:S38)</f>
        <v>1</v>
      </c>
    </row>
    <row r="39" spans="1:23" ht="15" customHeight="1" x14ac:dyDescent="0.3">
      <c r="A39" s="145" t="s">
        <v>119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9"/>
    </row>
    <row r="40" spans="1:23" ht="22.5" customHeight="1" x14ac:dyDescent="0.25">
      <c r="A40" s="80">
        <v>1</v>
      </c>
      <c r="B40" s="80"/>
      <c r="C40" s="80"/>
      <c r="D40" s="80">
        <v>2</v>
      </c>
      <c r="E40" s="80"/>
      <c r="F40" s="80"/>
      <c r="G40" s="81">
        <v>3</v>
      </c>
      <c r="H40" s="94"/>
      <c r="I40" s="93"/>
      <c r="J40" s="80">
        <v>4</v>
      </c>
      <c r="K40" s="80"/>
      <c r="L40" s="80"/>
      <c r="M40" s="80">
        <v>5</v>
      </c>
      <c r="N40" s="80"/>
      <c r="O40" s="80"/>
      <c r="P40" s="144" t="s">
        <v>109</v>
      </c>
      <c r="Q40" s="144"/>
      <c r="R40" s="144"/>
      <c r="S40" s="15" t="s">
        <v>0</v>
      </c>
      <c r="T40" s="9"/>
    </row>
    <row r="41" spans="1:23" ht="15" customHeight="1" x14ac:dyDescent="0.25">
      <c r="A41" s="140">
        <f>126/634</f>
        <v>0.19873817034700317</v>
      </c>
      <c r="B41" s="140"/>
      <c r="C41" s="140"/>
      <c r="D41" s="140">
        <f>74/634</f>
        <v>0.1167192429022082</v>
      </c>
      <c r="E41" s="140"/>
      <c r="F41" s="140"/>
      <c r="G41" s="140">
        <f>162/634</f>
        <v>0.25552050473186122</v>
      </c>
      <c r="H41" s="140"/>
      <c r="I41" s="140"/>
      <c r="J41" s="140">
        <f>127/634</f>
        <v>0.20031545741324921</v>
      </c>
      <c r="K41" s="140"/>
      <c r="L41" s="140"/>
      <c r="M41" s="140">
        <f>130/634</f>
        <v>0.20504731861198738</v>
      </c>
      <c r="N41" s="140"/>
      <c r="O41" s="140"/>
      <c r="P41" s="140">
        <f>13/634</f>
        <v>2.0504731861198739E-2</v>
      </c>
      <c r="Q41" s="140"/>
      <c r="R41" s="140"/>
      <c r="S41" s="7">
        <f>2/634</f>
        <v>3.1545741324921135E-3</v>
      </c>
      <c r="T41" s="12">
        <f>SUM(A41:S41)</f>
        <v>0.99999999999999989</v>
      </c>
    </row>
    <row r="42" spans="1:23" ht="15" customHeight="1" x14ac:dyDescent="0.25">
      <c r="A42" s="43" t="s">
        <v>147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16"/>
    </row>
    <row r="43" spans="1:23" ht="15" customHeight="1" x14ac:dyDescent="0.3">
      <c r="A43" s="145" t="s">
        <v>120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9"/>
    </row>
    <row r="44" spans="1:23" ht="33" customHeight="1" x14ac:dyDescent="0.25">
      <c r="A44" s="80" t="s">
        <v>25</v>
      </c>
      <c r="B44" s="80"/>
      <c r="C44" s="80"/>
      <c r="D44" s="80" t="s">
        <v>26</v>
      </c>
      <c r="E44" s="80"/>
      <c r="F44" s="80"/>
      <c r="G44" s="81" t="s">
        <v>27</v>
      </c>
      <c r="H44" s="94"/>
      <c r="I44" s="93"/>
      <c r="J44" s="80" t="s">
        <v>28</v>
      </c>
      <c r="K44" s="80"/>
      <c r="L44" s="80"/>
      <c r="M44" s="80" t="s">
        <v>29</v>
      </c>
      <c r="N44" s="80"/>
      <c r="O44" s="80"/>
      <c r="P44" s="141" t="s">
        <v>0</v>
      </c>
      <c r="Q44" s="142"/>
      <c r="R44" s="142"/>
      <c r="S44" s="143"/>
      <c r="T44" s="9"/>
    </row>
    <row r="45" spans="1:23" x14ac:dyDescent="0.25">
      <c r="A45" s="88">
        <f>34/634</f>
        <v>5.362776025236593E-2</v>
      </c>
      <c r="B45" s="88"/>
      <c r="C45" s="88"/>
      <c r="D45" s="88">
        <f>47/634</f>
        <v>7.4132492113564666E-2</v>
      </c>
      <c r="E45" s="88"/>
      <c r="F45" s="88"/>
      <c r="G45" s="88">
        <f>186/634</f>
        <v>0.29337539432176657</v>
      </c>
      <c r="H45" s="88"/>
      <c r="I45" s="88"/>
      <c r="J45" s="88">
        <f>149/634</f>
        <v>0.23501577287066247</v>
      </c>
      <c r="K45" s="88"/>
      <c r="L45" s="88"/>
      <c r="M45" s="88">
        <f>218/634</f>
        <v>0.34384858044164041</v>
      </c>
      <c r="N45" s="88"/>
      <c r="O45" s="88"/>
      <c r="P45" s="89">
        <f>0/634</f>
        <v>0</v>
      </c>
      <c r="Q45" s="118"/>
      <c r="R45" s="118"/>
      <c r="S45" s="87"/>
      <c r="T45" s="12">
        <f>SUM(A45:S45)</f>
        <v>1</v>
      </c>
    </row>
    <row r="46" spans="1:23" ht="17.25" x14ac:dyDescent="0.3">
      <c r="A46" s="145" t="s">
        <v>121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6"/>
    </row>
    <row r="47" spans="1:23" ht="28.5" customHeight="1" x14ac:dyDescent="0.25">
      <c r="A47" s="80" t="s">
        <v>25</v>
      </c>
      <c r="B47" s="80"/>
      <c r="C47" s="80"/>
      <c r="D47" s="80" t="s">
        <v>26</v>
      </c>
      <c r="E47" s="80"/>
      <c r="F47" s="80"/>
      <c r="G47" s="81" t="s">
        <v>27</v>
      </c>
      <c r="H47" s="94"/>
      <c r="I47" s="93"/>
      <c r="J47" s="80" t="s">
        <v>28</v>
      </c>
      <c r="K47" s="80"/>
      <c r="L47" s="80"/>
      <c r="M47" s="80" t="s">
        <v>29</v>
      </c>
      <c r="N47" s="80"/>
      <c r="O47" s="80"/>
      <c r="P47" s="141" t="s">
        <v>0</v>
      </c>
      <c r="Q47" s="142"/>
      <c r="R47" s="142"/>
      <c r="S47" s="143"/>
      <c r="T47" s="16"/>
    </row>
    <row r="48" spans="1:23" x14ac:dyDescent="0.25">
      <c r="A48" s="88">
        <f>43/634</f>
        <v>6.7823343848580436E-2</v>
      </c>
      <c r="B48" s="88"/>
      <c r="C48" s="88"/>
      <c r="D48" s="88">
        <f>49/634</f>
        <v>7.7287066246056788E-2</v>
      </c>
      <c r="E48" s="88"/>
      <c r="F48" s="88"/>
      <c r="G48" s="88">
        <f>149/634</f>
        <v>0.23501577287066247</v>
      </c>
      <c r="H48" s="88"/>
      <c r="I48" s="88"/>
      <c r="J48" s="88">
        <f>152/634</f>
        <v>0.23974763406940064</v>
      </c>
      <c r="K48" s="88"/>
      <c r="L48" s="88"/>
      <c r="M48" s="88">
        <f>241/634</f>
        <v>0.38012618296529971</v>
      </c>
      <c r="N48" s="88"/>
      <c r="O48" s="88"/>
      <c r="P48" s="89">
        <f>0/634</f>
        <v>0</v>
      </c>
      <c r="Q48" s="118"/>
      <c r="R48" s="118"/>
      <c r="S48" s="87"/>
      <c r="T48" s="12">
        <f>SUM(A48:S48)</f>
        <v>1</v>
      </c>
      <c r="W48" s="11"/>
    </row>
    <row r="49" spans="1:20" ht="17.25" x14ac:dyDescent="0.3">
      <c r="A49" s="145" t="s">
        <v>148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6"/>
    </row>
    <row r="50" spans="1:20" ht="30.75" customHeight="1" x14ac:dyDescent="0.25">
      <c r="A50" s="155" t="s">
        <v>52</v>
      </c>
      <c r="B50" s="156"/>
      <c r="C50" s="156"/>
      <c r="D50" s="156"/>
      <c r="E50" s="156"/>
      <c r="F50" s="157"/>
      <c r="G50" s="155" t="s">
        <v>51</v>
      </c>
      <c r="H50" s="156"/>
      <c r="I50" s="156"/>
      <c r="J50" s="156"/>
      <c r="K50" s="156"/>
      <c r="L50" s="157"/>
      <c r="M50" s="155" t="s">
        <v>0</v>
      </c>
      <c r="N50" s="156"/>
      <c r="O50" s="156"/>
      <c r="P50" s="156"/>
      <c r="Q50" s="156"/>
      <c r="R50" s="156"/>
      <c r="S50" s="157"/>
      <c r="T50" s="16"/>
    </row>
    <row r="51" spans="1:20" x14ac:dyDescent="0.25">
      <c r="A51" s="89">
        <f>405/634</f>
        <v>0.63880126182965302</v>
      </c>
      <c r="B51" s="118"/>
      <c r="C51" s="118"/>
      <c r="D51" s="118"/>
      <c r="E51" s="118"/>
      <c r="F51" s="87"/>
      <c r="G51" s="89">
        <f>228/634</f>
        <v>0.35962145110410093</v>
      </c>
      <c r="H51" s="118"/>
      <c r="I51" s="118"/>
      <c r="J51" s="118"/>
      <c r="K51" s="118"/>
      <c r="L51" s="87"/>
      <c r="M51" s="89">
        <f>1/634</f>
        <v>1.5772870662460567E-3</v>
      </c>
      <c r="N51" s="118"/>
      <c r="O51" s="118"/>
      <c r="P51" s="118"/>
      <c r="Q51" s="118"/>
      <c r="R51" s="118"/>
      <c r="S51" s="87"/>
      <c r="T51" s="12">
        <f>SUM(A51:S51)</f>
        <v>1</v>
      </c>
    </row>
    <row r="52" spans="1:20" ht="26.25" customHeight="1" x14ac:dyDescent="0.25">
      <c r="A52" s="138" t="s">
        <v>122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9"/>
    </row>
    <row r="53" spans="1:20" ht="26.25" customHeight="1" x14ac:dyDescent="0.25">
      <c r="A53" s="38" t="s">
        <v>123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9"/>
    </row>
    <row r="54" spans="1:20" s="13" customFormat="1" ht="66.75" customHeight="1" x14ac:dyDescent="0.25">
      <c r="A54" s="104" t="s">
        <v>124</v>
      </c>
      <c r="B54" s="101"/>
      <c r="C54" s="101" t="s">
        <v>125</v>
      </c>
      <c r="D54" s="101"/>
      <c r="E54" s="101" t="s">
        <v>126</v>
      </c>
      <c r="F54" s="101"/>
      <c r="G54" s="101"/>
      <c r="H54" s="101" t="s">
        <v>127</v>
      </c>
      <c r="I54" s="101"/>
      <c r="J54" s="101"/>
      <c r="K54" s="101" t="s">
        <v>128</v>
      </c>
      <c r="L54" s="101"/>
      <c r="M54" s="101" t="s">
        <v>129</v>
      </c>
      <c r="N54" s="101"/>
      <c r="O54" s="101" t="s">
        <v>130</v>
      </c>
      <c r="P54" s="101"/>
      <c r="Q54" s="101"/>
      <c r="R54" s="131"/>
      <c r="S54" s="132"/>
      <c r="T54" s="16"/>
    </row>
    <row r="55" spans="1:20" s="13" customFormat="1" ht="26.25" customHeight="1" x14ac:dyDescent="0.25">
      <c r="A55" s="139">
        <f>274/634</f>
        <v>0.43217665615141954</v>
      </c>
      <c r="B55" s="130"/>
      <c r="C55" s="130">
        <f>306/634</f>
        <v>0.48264984227129337</v>
      </c>
      <c r="D55" s="130"/>
      <c r="E55" s="130">
        <f>317/634</f>
        <v>0.5</v>
      </c>
      <c r="F55" s="130"/>
      <c r="G55" s="130"/>
      <c r="H55" s="130">
        <f>76/634</f>
        <v>0.11987381703470032</v>
      </c>
      <c r="I55" s="130"/>
      <c r="J55" s="130"/>
      <c r="K55" s="130">
        <f>87/634</f>
        <v>0.13722397476340695</v>
      </c>
      <c r="L55" s="130"/>
      <c r="M55" s="130">
        <f>205/634</f>
        <v>0.32334384858044163</v>
      </c>
      <c r="N55" s="130"/>
      <c r="O55" s="130">
        <f>162/634</f>
        <v>0.25552050473186122</v>
      </c>
      <c r="P55" s="130"/>
      <c r="Q55" s="130"/>
      <c r="R55" s="161" t="s">
        <v>227</v>
      </c>
      <c r="S55" s="162"/>
      <c r="T55" s="16"/>
    </row>
    <row r="56" spans="1:20" s="13" customFormat="1" ht="26.25" customHeight="1" x14ac:dyDescent="0.25">
      <c r="A56" s="139">
        <f>360/634</f>
        <v>0.56782334384858046</v>
      </c>
      <c r="B56" s="130"/>
      <c r="C56" s="130">
        <f>328/634</f>
        <v>0.51735015772870663</v>
      </c>
      <c r="D56" s="130"/>
      <c r="E56" s="130">
        <f>317/634</f>
        <v>0.5</v>
      </c>
      <c r="F56" s="130"/>
      <c r="G56" s="130"/>
      <c r="H56" s="130">
        <f>558/634</f>
        <v>0.88012618296529965</v>
      </c>
      <c r="I56" s="130"/>
      <c r="J56" s="130"/>
      <c r="K56" s="130">
        <f>547/634</f>
        <v>0.86277602523659302</v>
      </c>
      <c r="L56" s="130"/>
      <c r="M56" s="130">
        <f>429/634</f>
        <v>0.67665615141955837</v>
      </c>
      <c r="N56" s="130"/>
      <c r="O56" s="130">
        <f>472/634</f>
        <v>0.74447949526813884</v>
      </c>
      <c r="P56" s="130"/>
      <c r="Q56" s="130"/>
      <c r="R56" s="131" t="s">
        <v>0</v>
      </c>
      <c r="S56" s="132"/>
      <c r="T56" s="16"/>
    </row>
    <row r="57" spans="1:20" s="13" customFormat="1" ht="26.25" customHeight="1" x14ac:dyDescent="0.25">
      <c r="A57" s="129">
        <f>SUM(A55:B56)</f>
        <v>1</v>
      </c>
      <c r="B57" s="126"/>
      <c r="C57" s="129">
        <f>SUM(C55:D56)</f>
        <v>1</v>
      </c>
      <c r="D57" s="126"/>
      <c r="E57" s="126">
        <f>SUM(E55:G56)</f>
        <v>1</v>
      </c>
      <c r="F57" s="126"/>
      <c r="G57" s="126"/>
      <c r="H57" s="126">
        <f>SUM(H55:J56)</f>
        <v>1</v>
      </c>
      <c r="I57" s="126"/>
      <c r="J57" s="126"/>
      <c r="K57" s="126">
        <f>SUM(K55:L56)</f>
        <v>1</v>
      </c>
      <c r="L57" s="126"/>
      <c r="M57" s="126">
        <f>SUM(M55:N56)</f>
        <v>1</v>
      </c>
      <c r="N57" s="126"/>
      <c r="O57" s="126">
        <f>SUM(O55:Q56)</f>
        <v>1</v>
      </c>
      <c r="P57" s="126"/>
      <c r="Q57" s="126"/>
      <c r="R57" s="133"/>
      <c r="S57" s="134"/>
      <c r="T57" s="16"/>
    </row>
    <row r="58" spans="1:20" ht="17.25" x14ac:dyDescent="0.25">
      <c r="A58" s="138" t="s">
        <v>131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9"/>
    </row>
    <row r="59" spans="1:20" s="13" customFormat="1" ht="42.75" customHeight="1" x14ac:dyDescent="0.25">
      <c r="A59" s="104" t="s">
        <v>132</v>
      </c>
      <c r="B59" s="101"/>
      <c r="C59" s="101"/>
      <c r="D59" s="101"/>
      <c r="E59" s="101" t="s">
        <v>234</v>
      </c>
      <c r="F59" s="101"/>
      <c r="G59" s="101"/>
      <c r="H59" s="101"/>
      <c r="I59" s="131" t="s">
        <v>31</v>
      </c>
      <c r="J59" s="131"/>
      <c r="K59" s="131"/>
      <c r="L59" s="131"/>
      <c r="M59" s="101" t="s">
        <v>133</v>
      </c>
      <c r="N59" s="101"/>
      <c r="O59" s="101"/>
      <c r="P59" s="101"/>
      <c r="Q59" s="131" t="s">
        <v>0</v>
      </c>
      <c r="R59" s="131"/>
      <c r="S59" s="132"/>
      <c r="T59" s="16"/>
    </row>
    <row r="60" spans="1:20" s="13" customFormat="1" ht="21.75" customHeight="1" x14ac:dyDescent="0.25">
      <c r="A60" s="139">
        <f>89/634</f>
        <v>0.14037854889589904</v>
      </c>
      <c r="B60" s="130"/>
      <c r="C60" s="130"/>
      <c r="D60" s="130"/>
      <c r="E60" s="130">
        <f>122/634</f>
        <v>0.19242902208201892</v>
      </c>
      <c r="F60" s="130"/>
      <c r="G60" s="130"/>
      <c r="H60" s="130"/>
      <c r="I60" s="130">
        <f>104/634</f>
        <v>0.16403785488958991</v>
      </c>
      <c r="J60" s="130"/>
      <c r="K60" s="130"/>
      <c r="L60" s="130"/>
      <c r="M60" s="130">
        <f>319/634</f>
        <v>0.50315457413249209</v>
      </c>
      <c r="N60" s="130"/>
      <c r="O60" s="130"/>
      <c r="P60" s="130"/>
      <c r="Q60" s="130">
        <f>0/634</f>
        <v>0</v>
      </c>
      <c r="R60" s="130"/>
      <c r="S60" s="133"/>
      <c r="T60" s="12">
        <f>SUM(A60:S60)</f>
        <v>1</v>
      </c>
    </row>
    <row r="61" spans="1:20" ht="40.5" customHeight="1" x14ac:dyDescent="0.25">
      <c r="A61" s="146" t="s">
        <v>134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9"/>
    </row>
    <row r="62" spans="1:20" ht="32.25" customHeight="1" x14ac:dyDescent="0.25">
      <c r="A62" s="93">
        <v>1</v>
      </c>
      <c r="B62" s="80"/>
      <c r="C62" s="80"/>
      <c r="D62" s="80">
        <v>2</v>
      </c>
      <c r="E62" s="80"/>
      <c r="F62" s="80"/>
      <c r="G62" s="81">
        <v>3</v>
      </c>
      <c r="H62" s="94"/>
      <c r="I62" s="93"/>
      <c r="J62" s="80">
        <v>4</v>
      </c>
      <c r="K62" s="80"/>
      <c r="L62" s="80"/>
      <c r="M62" s="80">
        <v>5</v>
      </c>
      <c r="N62" s="80"/>
      <c r="O62" s="80"/>
      <c r="P62" s="80" t="s">
        <v>0</v>
      </c>
      <c r="Q62" s="80"/>
      <c r="R62" s="80"/>
      <c r="S62" s="81"/>
      <c r="T62" s="9"/>
    </row>
    <row r="63" spans="1:20" x14ac:dyDescent="0.25">
      <c r="A63" s="87">
        <f>98/634</f>
        <v>0.15457413249211358</v>
      </c>
      <c r="B63" s="88"/>
      <c r="C63" s="88"/>
      <c r="D63" s="88">
        <f>120/634</f>
        <v>0.1892744479495268</v>
      </c>
      <c r="E63" s="88"/>
      <c r="F63" s="88"/>
      <c r="G63" s="88">
        <f>222/634</f>
        <v>0.35015772870662459</v>
      </c>
      <c r="H63" s="88"/>
      <c r="I63" s="88"/>
      <c r="J63" s="88">
        <f>143/634</f>
        <v>0.22555205047318613</v>
      </c>
      <c r="K63" s="88"/>
      <c r="L63" s="88"/>
      <c r="M63" s="88">
        <f>50/634</f>
        <v>7.8864353312302835E-2</v>
      </c>
      <c r="N63" s="88"/>
      <c r="O63" s="88"/>
      <c r="P63" s="88">
        <f>1/634</f>
        <v>1.5772870662460567E-3</v>
      </c>
      <c r="Q63" s="88"/>
      <c r="R63" s="88"/>
      <c r="S63" s="89"/>
      <c r="T63" s="12">
        <f>SUM(A63:S63)</f>
        <v>0.99999999999999989</v>
      </c>
    </row>
    <row r="64" spans="1:20" ht="17.25" x14ac:dyDescent="0.25">
      <c r="A64" s="159" t="s">
        <v>32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"/>
    </row>
    <row r="65" spans="1:20" s="13" customFormat="1" ht="17.25" x14ac:dyDescent="0.25">
      <c r="A65" s="138" t="s">
        <v>33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6"/>
    </row>
    <row r="66" spans="1:20" s="13" customFormat="1" ht="17.25" x14ac:dyDescent="0.25">
      <c r="A66" s="160" t="s">
        <v>34</v>
      </c>
      <c r="B66" s="160"/>
      <c r="C66" s="160"/>
      <c r="D66" s="160"/>
      <c r="E66" s="160"/>
      <c r="F66" s="160"/>
      <c r="G66" s="160" t="s">
        <v>35</v>
      </c>
      <c r="H66" s="160"/>
      <c r="I66" s="160"/>
      <c r="J66" s="160"/>
      <c r="K66" s="160"/>
      <c r="L66" s="160"/>
      <c r="M66" s="160" t="s">
        <v>36</v>
      </c>
      <c r="N66" s="160"/>
      <c r="O66" s="160"/>
      <c r="P66" s="160"/>
      <c r="Q66" s="160"/>
      <c r="R66" s="160"/>
      <c r="S66" s="160"/>
      <c r="T66" s="16"/>
    </row>
    <row r="67" spans="1:20" s="13" customFormat="1" x14ac:dyDescent="0.25">
      <c r="A67" s="130">
        <f>481/634</f>
        <v>0.75867507886435326</v>
      </c>
      <c r="B67" s="130"/>
      <c r="C67" s="130"/>
      <c r="D67" s="130"/>
      <c r="E67" s="130"/>
      <c r="F67" s="130"/>
      <c r="G67" s="130">
        <f>152/634</f>
        <v>0.23974763406940064</v>
      </c>
      <c r="H67" s="130"/>
      <c r="I67" s="130"/>
      <c r="J67" s="130"/>
      <c r="K67" s="130"/>
      <c r="L67" s="130"/>
      <c r="M67" s="130">
        <f>1/634</f>
        <v>1.5772870662460567E-3</v>
      </c>
      <c r="N67" s="130"/>
      <c r="O67" s="130"/>
      <c r="P67" s="130"/>
      <c r="Q67" s="130"/>
      <c r="R67" s="130"/>
      <c r="S67" s="130"/>
      <c r="T67" s="12">
        <f>SUM(A67:S67)</f>
        <v>1</v>
      </c>
    </row>
    <row r="68" spans="1:20" ht="17.25" x14ac:dyDescent="0.25">
      <c r="A68" s="138" t="s">
        <v>37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6"/>
    </row>
    <row r="69" spans="1:20" x14ac:dyDescent="0.25">
      <c r="A69" s="148" t="s">
        <v>135</v>
      </c>
      <c r="B69" s="148"/>
      <c r="C69" s="148"/>
      <c r="D69" s="148"/>
      <c r="E69" s="148"/>
      <c r="F69" s="148" t="s">
        <v>38</v>
      </c>
      <c r="G69" s="148"/>
      <c r="H69" s="148"/>
      <c r="I69" s="148"/>
      <c r="J69" s="148"/>
      <c r="K69" s="148" t="s">
        <v>136</v>
      </c>
      <c r="L69" s="148"/>
      <c r="M69" s="148"/>
      <c r="N69" s="148"/>
      <c r="O69" s="148"/>
      <c r="P69" s="148" t="s">
        <v>39</v>
      </c>
      <c r="Q69" s="148"/>
      <c r="R69" s="148"/>
      <c r="S69" s="148"/>
      <c r="T69" s="16"/>
    </row>
    <row r="70" spans="1:20" x14ac:dyDescent="0.25">
      <c r="A70" s="88">
        <f>168/634</f>
        <v>0.26498422712933756</v>
      </c>
      <c r="B70" s="88"/>
      <c r="C70" s="88"/>
      <c r="D70" s="88"/>
      <c r="E70" s="88"/>
      <c r="F70" s="88">
        <f>328/634</f>
        <v>0.51735015772870663</v>
      </c>
      <c r="G70" s="88"/>
      <c r="H70" s="88"/>
      <c r="I70" s="88"/>
      <c r="J70" s="88"/>
      <c r="K70" s="88">
        <f>138/634</f>
        <v>0.21766561514195584</v>
      </c>
      <c r="L70" s="88"/>
      <c r="M70" s="88"/>
      <c r="N70" s="88"/>
      <c r="O70" s="88"/>
      <c r="P70" s="88">
        <f>0/634</f>
        <v>0</v>
      </c>
      <c r="Q70" s="88"/>
      <c r="R70" s="88"/>
      <c r="S70" s="88"/>
      <c r="T70" s="12">
        <f>SUM(A70:S70)</f>
        <v>1</v>
      </c>
    </row>
    <row r="71" spans="1:20" ht="17.25" x14ac:dyDescent="0.25">
      <c r="A71" s="138" t="s">
        <v>40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6"/>
    </row>
    <row r="72" spans="1:20" ht="37.5" customHeight="1" x14ac:dyDescent="0.25">
      <c r="A72" s="136" t="s">
        <v>137</v>
      </c>
      <c r="B72" s="136"/>
      <c r="C72" s="137"/>
      <c r="D72" s="158" t="s">
        <v>138</v>
      </c>
      <c r="E72" s="158"/>
      <c r="F72" s="158"/>
      <c r="G72" s="158" t="s">
        <v>139</v>
      </c>
      <c r="H72" s="158"/>
      <c r="I72" s="158"/>
      <c r="J72" s="158" t="s">
        <v>41</v>
      </c>
      <c r="K72" s="158"/>
      <c r="L72" s="158"/>
      <c r="M72" s="158" t="s">
        <v>140</v>
      </c>
      <c r="N72" s="158"/>
      <c r="O72" s="158" t="s">
        <v>42</v>
      </c>
      <c r="P72" s="158"/>
      <c r="Q72" s="158" t="s">
        <v>43</v>
      </c>
      <c r="R72" s="158"/>
      <c r="S72" s="29" t="s">
        <v>39</v>
      </c>
      <c r="T72" s="16"/>
    </row>
    <row r="73" spans="1:20" x14ac:dyDescent="0.25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28"/>
      <c r="T73" s="12">
        <f>SUM(A73:S73)</f>
        <v>0</v>
      </c>
    </row>
    <row r="74" spans="1:20" ht="17.25" x14ac:dyDescent="0.25">
      <c r="A74" s="138" t="s">
        <v>44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9"/>
    </row>
    <row r="75" spans="1:20" x14ac:dyDescent="0.25">
      <c r="A75" s="149" t="s">
        <v>2</v>
      </c>
      <c r="B75" s="149"/>
      <c r="C75" s="149"/>
      <c r="D75" s="149"/>
      <c r="E75" s="149"/>
      <c r="F75" s="149"/>
      <c r="G75" s="149" t="s">
        <v>3</v>
      </c>
      <c r="H75" s="149"/>
      <c r="I75" s="149"/>
      <c r="J75" s="149"/>
      <c r="K75" s="149"/>
      <c r="L75" s="149"/>
      <c r="M75" s="149" t="s">
        <v>0</v>
      </c>
      <c r="N75" s="149"/>
      <c r="O75" s="149"/>
      <c r="P75" s="149"/>
      <c r="Q75" s="149"/>
      <c r="R75" s="149"/>
      <c r="S75" s="149"/>
      <c r="T75" s="9"/>
    </row>
    <row r="76" spans="1:20" x14ac:dyDescent="0.25">
      <c r="A76" s="88">
        <f>107/634</f>
        <v>0.16876971608832808</v>
      </c>
      <c r="B76" s="88"/>
      <c r="C76" s="88"/>
      <c r="D76" s="88"/>
      <c r="E76" s="88"/>
      <c r="F76" s="88"/>
      <c r="G76" s="88">
        <f>495/634</f>
        <v>0.78075709779179814</v>
      </c>
      <c r="H76" s="88"/>
      <c r="I76" s="88"/>
      <c r="J76" s="88"/>
      <c r="K76" s="88"/>
      <c r="L76" s="88"/>
      <c r="M76" s="88">
        <f>32/634</f>
        <v>5.0473186119873815E-2</v>
      </c>
      <c r="N76" s="88"/>
      <c r="O76" s="88"/>
      <c r="P76" s="88"/>
      <c r="Q76" s="88"/>
      <c r="R76" s="88"/>
      <c r="S76" s="88"/>
      <c r="T76" s="12">
        <f t="shared" ref="T76" si="0">SUM(A76:R76)</f>
        <v>1</v>
      </c>
    </row>
    <row r="77" spans="1:20" ht="28.5" customHeight="1" x14ac:dyDescent="0.25">
      <c r="A77" s="138" t="s">
        <v>45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9"/>
    </row>
    <row r="78" spans="1:20" s="13" customFormat="1" x14ac:dyDescent="0.25">
      <c r="A78" s="148" t="s">
        <v>46</v>
      </c>
      <c r="B78" s="148"/>
      <c r="C78" s="148"/>
      <c r="D78" s="148"/>
      <c r="E78" s="148"/>
      <c r="F78" s="148" t="s">
        <v>47</v>
      </c>
      <c r="G78" s="148"/>
      <c r="H78" s="148"/>
      <c r="I78" s="148"/>
      <c r="J78" s="148"/>
      <c r="K78" s="135" t="s">
        <v>48</v>
      </c>
      <c r="L78" s="136"/>
      <c r="M78" s="136"/>
      <c r="N78" s="135" t="s">
        <v>49</v>
      </c>
      <c r="O78" s="137"/>
      <c r="P78" s="148"/>
      <c r="Q78" s="148"/>
      <c r="R78" s="148"/>
      <c r="S78" s="153"/>
      <c r="T78" s="16"/>
    </row>
    <row r="79" spans="1:20" s="13" customFormat="1" x14ac:dyDescent="0.25">
      <c r="A79" s="123">
        <f>11/634</f>
        <v>1.7350157728706624E-2</v>
      </c>
      <c r="B79" s="123"/>
      <c r="C79" s="123"/>
      <c r="D79" s="123"/>
      <c r="E79" s="123"/>
      <c r="F79" s="123">
        <f>64/634</f>
        <v>0.10094637223974763</v>
      </c>
      <c r="G79" s="123"/>
      <c r="H79" s="123"/>
      <c r="I79" s="123"/>
      <c r="J79" s="123"/>
      <c r="K79" s="123">
        <f>38/634</f>
        <v>5.993690851735016E-2</v>
      </c>
      <c r="L79" s="123"/>
      <c r="M79" s="123"/>
      <c r="N79" s="123">
        <f>523/634</f>
        <v>0.82492113564668768</v>
      </c>
      <c r="O79" s="123"/>
      <c r="P79" s="123" t="s">
        <v>227</v>
      </c>
      <c r="Q79" s="123"/>
      <c r="R79" s="123"/>
      <c r="S79" s="154"/>
      <c r="T79" s="16"/>
    </row>
    <row r="80" spans="1:20" s="13" customFormat="1" x14ac:dyDescent="0.25">
      <c r="A80" s="123">
        <f>623/634</f>
        <v>0.98264984227129337</v>
      </c>
      <c r="B80" s="123"/>
      <c r="C80" s="123"/>
      <c r="D80" s="123"/>
      <c r="E80" s="123"/>
      <c r="F80" s="123">
        <f>570/634</f>
        <v>0.89905362776025233</v>
      </c>
      <c r="G80" s="123"/>
      <c r="H80" s="123"/>
      <c r="I80" s="123"/>
      <c r="J80" s="123"/>
      <c r="K80" s="123">
        <f>596/634</f>
        <v>0.94006309148264988</v>
      </c>
      <c r="L80" s="123"/>
      <c r="M80" s="123"/>
      <c r="N80" s="123">
        <f>111/634</f>
        <v>0.1750788643533123</v>
      </c>
      <c r="O80" s="123"/>
      <c r="P80" s="124" t="s">
        <v>0</v>
      </c>
      <c r="Q80" s="124"/>
      <c r="R80" s="124"/>
      <c r="S80" s="125"/>
      <c r="T80" s="16"/>
    </row>
    <row r="81" spans="1:20" s="13" customFormat="1" x14ac:dyDescent="0.25">
      <c r="A81" s="126">
        <f>SUM(A79:E80)</f>
        <v>1</v>
      </c>
      <c r="B81" s="126"/>
      <c r="C81" s="126"/>
      <c r="D81" s="126"/>
      <c r="E81" s="126"/>
      <c r="F81" s="126">
        <f>SUM(F79:J80)</f>
        <v>1</v>
      </c>
      <c r="G81" s="126"/>
      <c r="H81" s="126"/>
      <c r="I81" s="126"/>
      <c r="J81" s="126"/>
      <c r="K81" s="127">
        <f>SUM(K79:M80)</f>
        <v>1</v>
      </c>
      <c r="L81" s="128"/>
      <c r="M81" s="128"/>
      <c r="N81" s="127">
        <f>SUM(N79:O80)</f>
        <v>1</v>
      </c>
      <c r="O81" s="129"/>
      <c r="P81" s="88"/>
      <c r="Q81" s="88"/>
      <c r="R81" s="88"/>
      <c r="S81" s="89"/>
      <c r="T81" s="16"/>
    </row>
    <row r="82" spans="1:20" x14ac:dyDescent="0.25">
      <c r="A82" s="109" t="s">
        <v>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4"/>
    </row>
    <row r="83" spans="1:20" x14ac:dyDescent="0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7" spans="1:20" x14ac:dyDescent="0.25">
      <c r="A87" s="79" t="s">
        <v>5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5"/>
    </row>
  </sheetData>
  <sheetProtection password="CC71" sheet="1" objects="1" scenarios="1"/>
  <mergeCells count="311">
    <mergeCell ref="P48:S48"/>
    <mergeCell ref="F70:J70"/>
    <mergeCell ref="P63:S63"/>
    <mergeCell ref="A64:S64"/>
    <mergeCell ref="A65:S65"/>
    <mergeCell ref="A66:F66"/>
    <mergeCell ref="G66:L66"/>
    <mergeCell ref="M66:S66"/>
    <mergeCell ref="A62:C62"/>
    <mergeCell ref="D62:F62"/>
    <mergeCell ref="G62:I62"/>
    <mergeCell ref="C55:D55"/>
    <mergeCell ref="E55:G55"/>
    <mergeCell ref="H55:J55"/>
    <mergeCell ref="K55:L55"/>
    <mergeCell ref="M55:N55"/>
    <mergeCell ref="O55:Q55"/>
    <mergeCell ref="R55:S55"/>
    <mergeCell ref="Q59:S59"/>
    <mergeCell ref="A60:D60"/>
    <mergeCell ref="E60:H60"/>
    <mergeCell ref="I60:L60"/>
    <mergeCell ref="M60:P60"/>
    <mergeCell ref="Q60:S60"/>
    <mergeCell ref="M72:N72"/>
    <mergeCell ref="O72:P72"/>
    <mergeCell ref="Q72:R72"/>
    <mergeCell ref="M73:N73"/>
    <mergeCell ref="O73:P73"/>
    <mergeCell ref="Q73:R73"/>
    <mergeCell ref="D72:F72"/>
    <mergeCell ref="G72:I72"/>
    <mergeCell ref="J72:L72"/>
    <mergeCell ref="P45:S45"/>
    <mergeCell ref="P47:S47"/>
    <mergeCell ref="A50:F50"/>
    <mergeCell ref="G50:L50"/>
    <mergeCell ref="M50:S50"/>
    <mergeCell ref="A51:F51"/>
    <mergeCell ref="G51:L51"/>
    <mergeCell ref="M51:S51"/>
    <mergeCell ref="A49:S49"/>
    <mergeCell ref="A46:S46"/>
    <mergeCell ref="A47:C47"/>
    <mergeCell ref="D47:F47"/>
    <mergeCell ref="G47:I47"/>
    <mergeCell ref="J47:L47"/>
    <mergeCell ref="A45:C45"/>
    <mergeCell ref="D45:F45"/>
    <mergeCell ref="G45:I45"/>
    <mergeCell ref="J45:L45"/>
    <mergeCell ref="M45:O45"/>
    <mergeCell ref="A48:C48"/>
    <mergeCell ref="D48:F48"/>
    <mergeCell ref="G48:I48"/>
    <mergeCell ref="J48:L48"/>
    <mergeCell ref="M48:O48"/>
    <mergeCell ref="A2:S2"/>
    <mergeCell ref="A3:S3"/>
    <mergeCell ref="F78:J78"/>
    <mergeCell ref="P78:S78"/>
    <mergeCell ref="A79:E79"/>
    <mergeCell ref="F79:J79"/>
    <mergeCell ref="P79:S79"/>
    <mergeCell ref="A73:C73"/>
    <mergeCell ref="D73:F73"/>
    <mergeCell ref="G73:I73"/>
    <mergeCell ref="J73:L73"/>
    <mergeCell ref="A61:S61"/>
    <mergeCell ref="A77:S77"/>
    <mergeCell ref="A74:S74"/>
    <mergeCell ref="M75:S75"/>
    <mergeCell ref="M76:S76"/>
    <mergeCell ref="G11:I11"/>
    <mergeCell ref="J11:L11"/>
    <mergeCell ref="M11:O11"/>
    <mergeCell ref="P11:R11"/>
    <mergeCell ref="P22:R22"/>
    <mergeCell ref="A59:D59"/>
    <mergeCell ref="E59:H59"/>
    <mergeCell ref="I59:L59"/>
    <mergeCell ref="A15:S15"/>
    <mergeCell ref="A18:S18"/>
    <mergeCell ref="A21:S21"/>
    <mergeCell ref="A24:S24"/>
    <mergeCell ref="A27:S27"/>
    <mergeCell ref="A30:S30"/>
    <mergeCell ref="A43:S43"/>
    <mergeCell ref="A20:C20"/>
    <mergeCell ref="D20:F20"/>
    <mergeCell ref="G20:I20"/>
    <mergeCell ref="J20:L20"/>
    <mergeCell ref="M20:O20"/>
    <mergeCell ref="P20:R20"/>
    <mergeCell ref="A19:C19"/>
    <mergeCell ref="D23:F23"/>
    <mergeCell ref="G23:I23"/>
    <mergeCell ref="J23:L23"/>
    <mergeCell ref="M23:O23"/>
    <mergeCell ref="P23:R23"/>
    <mergeCell ref="A22:C22"/>
    <mergeCell ref="D22:F22"/>
    <mergeCell ref="G22:I22"/>
    <mergeCell ref="J22:L22"/>
    <mergeCell ref="J28:L28"/>
    <mergeCell ref="M28:O28"/>
    <mergeCell ref="M22:O22"/>
    <mergeCell ref="A82:R82"/>
    <mergeCell ref="A87:R87"/>
    <mergeCell ref="A76:F76"/>
    <mergeCell ref="G76:L76"/>
    <mergeCell ref="A63:C63"/>
    <mergeCell ref="D63:F63"/>
    <mergeCell ref="G63:I63"/>
    <mergeCell ref="J63:L63"/>
    <mergeCell ref="M63:O63"/>
    <mergeCell ref="A75:F75"/>
    <mergeCell ref="G75:L75"/>
    <mergeCell ref="A67:F67"/>
    <mergeCell ref="G67:L67"/>
    <mergeCell ref="M67:S67"/>
    <mergeCell ref="A68:S68"/>
    <mergeCell ref="A69:E69"/>
    <mergeCell ref="F69:J69"/>
    <mergeCell ref="K69:O69"/>
    <mergeCell ref="P69:S69"/>
    <mergeCell ref="A70:E70"/>
    <mergeCell ref="K70:O70"/>
    <mergeCell ref="P32:R32"/>
    <mergeCell ref="M16:O16"/>
    <mergeCell ref="P16:R16"/>
    <mergeCell ref="A78:E78"/>
    <mergeCell ref="D17:F17"/>
    <mergeCell ref="G17:I17"/>
    <mergeCell ref="J17:L17"/>
    <mergeCell ref="M17:O17"/>
    <mergeCell ref="P17:R17"/>
    <mergeCell ref="P28:R28"/>
    <mergeCell ref="P25:R25"/>
    <mergeCell ref="A26:C26"/>
    <mergeCell ref="D26:F26"/>
    <mergeCell ref="G26:I26"/>
    <mergeCell ref="J26:L26"/>
    <mergeCell ref="M26:O26"/>
    <mergeCell ref="P26:R26"/>
    <mergeCell ref="A25:C25"/>
    <mergeCell ref="D25:F25"/>
    <mergeCell ref="G25:I25"/>
    <mergeCell ref="J25:L25"/>
    <mergeCell ref="M25:O25"/>
    <mergeCell ref="A28:C28"/>
    <mergeCell ref="D28:F28"/>
    <mergeCell ref="G28:I28"/>
    <mergeCell ref="P8:R8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5:S5"/>
    <mergeCell ref="A6:S6"/>
    <mergeCell ref="M10:O10"/>
    <mergeCell ref="P14:R14"/>
    <mergeCell ref="A14:C14"/>
    <mergeCell ref="D14:F14"/>
    <mergeCell ref="G14:I14"/>
    <mergeCell ref="J14:L14"/>
    <mergeCell ref="M14:O14"/>
    <mergeCell ref="P10:R10"/>
    <mergeCell ref="A10:C10"/>
    <mergeCell ref="D10:F10"/>
    <mergeCell ref="G10:I10"/>
    <mergeCell ref="J10:L10"/>
    <mergeCell ref="A13:C13"/>
    <mergeCell ref="D13:F13"/>
    <mergeCell ref="G13:I13"/>
    <mergeCell ref="J13:L13"/>
    <mergeCell ref="M13:O13"/>
    <mergeCell ref="A9:S9"/>
    <mergeCell ref="A12:S12"/>
    <mergeCell ref="P13:R13"/>
    <mergeCell ref="A11:C11"/>
    <mergeCell ref="P7:R7"/>
    <mergeCell ref="D11:F11"/>
    <mergeCell ref="P29:R29"/>
    <mergeCell ref="A31:C31"/>
    <mergeCell ref="D31:F31"/>
    <mergeCell ref="G31:I31"/>
    <mergeCell ref="J31:L31"/>
    <mergeCell ref="M31:O31"/>
    <mergeCell ref="P31:R31"/>
    <mergeCell ref="A29:C29"/>
    <mergeCell ref="D29:F29"/>
    <mergeCell ref="G29:I29"/>
    <mergeCell ref="J29:L29"/>
    <mergeCell ref="M29:O29"/>
    <mergeCell ref="A17:C17"/>
    <mergeCell ref="A23:C23"/>
    <mergeCell ref="D19:F19"/>
    <mergeCell ref="G19:I19"/>
    <mergeCell ref="J19:L19"/>
    <mergeCell ref="M19:O19"/>
    <mergeCell ref="P19:R19"/>
    <mergeCell ref="A16:C16"/>
    <mergeCell ref="D16:F16"/>
    <mergeCell ref="G16:I16"/>
    <mergeCell ref="J16:L16"/>
    <mergeCell ref="A34:C34"/>
    <mergeCell ref="D34:F34"/>
    <mergeCell ref="G34:I34"/>
    <mergeCell ref="J34:L34"/>
    <mergeCell ref="M34:O34"/>
    <mergeCell ref="P34:R34"/>
    <mergeCell ref="A32:C32"/>
    <mergeCell ref="D32:F32"/>
    <mergeCell ref="G32:I32"/>
    <mergeCell ref="J32:L32"/>
    <mergeCell ref="M32:O32"/>
    <mergeCell ref="A33:S33"/>
    <mergeCell ref="P35:R35"/>
    <mergeCell ref="A37:C37"/>
    <mergeCell ref="D37:F37"/>
    <mergeCell ref="G37:I37"/>
    <mergeCell ref="J37:L37"/>
    <mergeCell ref="M37:O37"/>
    <mergeCell ref="P37:R37"/>
    <mergeCell ref="A35:C35"/>
    <mergeCell ref="D35:F35"/>
    <mergeCell ref="G35:I35"/>
    <mergeCell ref="J35:L35"/>
    <mergeCell ref="M35:O35"/>
    <mergeCell ref="A36:S36"/>
    <mergeCell ref="P38:R38"/>
    <mergeCell ref="A40:C40"/>
    <mergeCell ref="D40:F40"/>
    <mergeCell ref="G40:I40"/>
    <mergeCell ref="J40:L40"/>
    <mergeCell ref="M40:O40"/>
    <mergeCell ref="P40:R40"/>
    <mergeCell ref="A38:C38"/>
    <mergeCell ref="D38:F38"/>
    <mergeCell ref="G38:I38"/>
    <mergeCell ref="J38:L38"/>
    <mergeCell ref="M38:O38"/>
    <mergeCell ref="A39:S39"/>
    <mergeCell ref="P41:R41"/>
    <mergeCell ref="A44:C44"/>
    <mergeCell ref="D44:F44"/>
    <mergeCell ref="G44:I44"/>
    <mergeCell ref="J44:L44"/>
    <mergeCell ref="M44:O44"/>
    <mergeCell ref="A41:C41"/>
    <mergeCell ref="D41:F41"/>
    <mergeCell ref="G41:I41"/>
    <mergeCell ref="J41:L41"/>
    <mergeCell ref="M41:O41"/>
    <mergeCell ref="P44:S44"/>
    <mergeCell ref="M47:O47"/>
    <mergeCell ref="K78:M78"/>
    <mergeCell ref="K79:M79"/>
    <mergeCell ref="N78:O78"/>
    <mergeCell ref="N79:O79"/>
    <mergeCell ref="M59:P59"/>
    <mergeCell ref="A52:S52"/>
    <mergeCell ref="A58:S58"/>
    <mergeCell ref="P62:S62"/>
    <mergeCell ref="M62:O62"/>
    <mergeCell ref="A72:C72"/>
    <mergeCell ref="P70:S70"/>
    <mergeCell ref="A71:S71"/>
    <mergeCell ref="J62:L62"/>
    <mergeCell ref="A54:B54"/>
    <mergeCell ref="C54:D54"/>
    <mergeCell ref="E54:G54"/>
    <mergeCell ref="H54:J54"/>
    <mergeCell ref="K54:L54"/>
    <mergeCell ref="M54:N54"/>
    <mergeCell ref="O54:Q54"/>
    <mergeCell ref="R54:S54"/>
    <mergeCell ref="A55:B55"/>
    <mergeCell ref="A56:B56"/>
    <mergeCell ref="C56:D56"/>
    <mergeCell ref="E56:G56"/>
    <mergeCell ref="H56:J56"/>
    <mergeCell ref="K56:L56"/>
    <mergeCell ref="M56:N56"/>
    <mergeCell ref="O56:Q56"/>
    <mergeCell ref="R56:S56"/>
    <mergeCell ref="A57:B57"/>
    <mergeCell ref="C57:D57"/>
    <mergeCell ref="E57:G57"/>
    <mergeCell ref="H57:J57"/>
    <mergeCell ref="K57:L57"/>
    <mergeCell ref="M57:N57"/>
    <mergeCell ref="O57:Q57"/>
    <mergeCell ref="R57:S57"/>
    <mergeCell ref="A80:E80"/>
    <mergeCell ref="F80:J80"/>
    <mergeCell ref="K80:M80"/>
    <mergeCell ref="N80:O80"/>
    <mergeCell ref="P80:S80"/>
    <mergeCell ref="A81:E81"/>
    <mergeCell ref="F81:J81"/>
    <mergeCell ref="K81:M81"/>
    <mergeCell ref="N81:O81"/>
    <mergeCell ref="P81:S81"/>
  </mergeCells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R249"/>
  <sheetViews>
    <sheetView tabSelected="1" workbookViewId="0">
      <selection activeCell="O1" sqref="O1:Q1048576"/>
    </sheetView>
  </sheetViews>
  <sheetFormatPr defaultRowHeight="17.25" x14ac:dyDescent="0.3"/>
  <cols>
    <col min="1" max="2" width="9.140625" style="2"/>
    <col min="3" max="3" width="10" style="2" customWidth="1"/>
    <col min="4" max="4" width="9.140625" style="2"/>
    <col min="5" max="5" width="10.28515625" style="2" customWidth="1"/>
    <col min="6" max="7" width="9.140625" style="2"/>
    <col min="8" max="8" width="9.5703125" style="2" customWidth="1"/>
    <col min="9" max="15" width="9.140625" style="2"/>
    <col min="16" max="16" width="9.140625" style="17" hidden="1" customWidth="1"/>
    <col min="17" max="18" width="9.140625" style="2" customWidth="1"/>
    <col min="19" max="16384" width="9.140625" style="2"/>
  </cols>
  <sheetData>
    <row r="1" spans="1:16" x14ac:dyDescent="0.3">
      <c r="A1" s="78" t="s">
        <v>235</v>
      </c>
    </row>
    <row r="2" spans="1:16" x14ac:dyDescent="0.3">
      <c r="A2" s="188" t="s">
        <v>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6" x14ac:dyDescent="0.3">
      <c r="A3" s="188" t="s">
        <v>233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s="10" customForma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53"/>
    </row>
    <row r="5" spans="1:16" s="10" customFormat="1" ht="77.25" hidden="1" customHeight="1" x14ac:dyDescent="0.3">
      <c r="A5" s="202" t="s">
        <v>192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53"/>
    </row>
    <row r="7" spans="1:16" x14ac:dyDescent="0.3">
      <c r="A7" s="187" t="s">
        <v>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1:16" x14ac:dyDescent="0.3">
      <c r="A8" s="84" t="s">
        <v>8</v>
      </c>
      <c r="B8" s="85"/>
      <c r="C8" s="85"/>
      <c r="D8" s="85"/>
      <c r="E8" s="85"/>
      <c r="F8" s="85" t="s">
        <v>9</v>
      </c>
      <c r="G8" s="85"/>
      <c r="H8" s="85"/>
      <c r="I8" s="85"/>
      <c r="J8" s="85"/>
      <c r="K8" s="85" t="s">
        <v>0</v>
      </c>
      <c r="L8" s="85"/>
      <c r="M8" s="85"/>
      <c r="N8" s="85"/>
      <c r="O8" s="86"/>
    </row>
    <row r="9" spans="1:16" x14ac:dyDescent="0.3">
      <c r="A9" s="114">
        <f>30/52</f>
        <v>0.57692307692307687</v>
      </c>
      <c r="B9" s="115"/>
      <c r="C9" s="115"/>
      <c r="D9" s="115"/>
      <c r="E9" s="115"/>
      <c r="F9" s="114">
        <f>22/52</f>
        <v>0.42307692307692307</v>
      </c>
      <c r="G9" s="115"/>
      <c r="H9" s="115"/>
      <c r="I9" s="115"/>
      <c r="J9" s="115"/>
      <c r="K9" s="114">
        <f>0/52</f>
        <v>0</v>
      </c>
      <c r="L9" s="115"/>
      <c r="M9" s="115"/>
      <c r="N9" s="115"/>
      <c r="O9" s="115"/>
      <c r="P9" s="26">
        <f>A9+F9+K9</f>
        <v>1</v>
      </c>
    </row>
    <row r="10" spans="1:16" x14ac:dyDescent="0.3">
      <c r="A10" s="187" t="s">
        <v>23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9"/>
    </row>
    <row r="11" spans="1:16" x14ac:dyDescent="0.3">
      <c r="A11" s="90" t="s">
        <v>221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19"/>
    </row>
    <row r="12" spans="1:16" x14ac:dyDescent="0.3">
      <c r="A12" s="187" t="s">
        <v>11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9"/>
    </row>
    <row r="13" spans="1:16" x14ac:dyDescent="0.3">
      <c r="A13" s="84" t="s">
        <v>53</v>
      </c>
      <c r="B13" s="85"/>
      <c r="C13" s="85"/>
      <c r="D13" s="85" t="s">
        <v>12</v>
      </c>
      <c r="E13" s="85"/>
      <c r="F13" s="85"/>
      <c r="G13" s="85" t="s">
        <v>13</v>
      </c>
      <c r="H13" s="85"/>
      <c r="I13" s="85"/>
      <c r="J13" s="85" t="s">
        <v>14</v>
      </c>
      <c r="K13" s="85"/>
      <c r="L13" s="85"/>
      <c r="M13" s="85" t="s">
        <v>0</v>
      </c>
      <c r="N13" s="85"/>
      <c r="O13" s="86"/>
      <c r="P13" s="19"/>
    </row>
    <row r="14" spans="1:16" x14ac:dyDescent="0.3">
      <c r="A14" s="88">
        <f>3/52</f>
        <v>5.7692307692307696E-2</v>
      </c>
      <c r="B14" s="88"/>
      <c r="C14" s="88"/>
      <c r="D14" s="88">
        <f>8/52</f>
        <v>0.15384615384615385</v>
      </c>
      <c r="E14" s="88"/>
      <c r="F14" s="88"/>
      <c r="G14" s="88">
        <f>28/52</f>
        <v>0.53846153846153844</v>
      </c>
      <c r="H14" s="88"/>
      <c r="I14" s="88"/>
      <c r="J14" s="88">
        <f>13/52</f>
        <v>0.25</v>
      </c>
      <c r="K14" s="88"/>
      <c r="L14" s="88"/>
      <c r="M14" s="88">
        <f>0/52</f>
        <v>0</v>
      </c>
      <c r="N14" s="88"/>
      <c r="O14" s="89"/>
      <c r="P14" s="26">
        <f>A14+D14+G14+J14+M14</f>
        <v>1</v>
      </c>
    </row>
    <row r="15" spans="1:16" x14ac:dyDescent="0.3">
      <c r="A15" s="187" t="s">
        <v>15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9"/>
    </row>
    <row r="16" spans="1:16" x14ac:dyDescent="0.3">
      <c r="A16" s="93" t="s">
        <v>16</v>
      </c>
      <c r="B16" s="80"/>
      <c r="C16" s="80"/>
      <c r="D16" s="80" t="s">
        <v>17</v>
      </c>
      <c r="E16" s="80"/>
      <c r="F16" s="80" t="s">
        <v>18</v>
      </c>
      <c r="G16" s="80"/>
      <c r="H16" s="80"/>
      <c r="I16" s="80" t="s">
        <v>19</v>
      </c>
      <c r="J16" s="80"/>
      <c r="K16" s="80" t="s">
        <v>20</v>
      </c>
      <c r="L16" s="80"/>
      <c r="M16" s="80"/>
      <c r="N16" s="80" t="s">
        <v>0</v>
      </c>
      <c r="O16" s="81"/>
      <c r="P16" s="19"/>
    </row>
    <row r="17" spans="1:16" x14ac:dyDescent="0.3">
      <c r="A17" s="87">
        <f>1/52</f>
        <v>1.9230769230769232E-2</v>
      </c>
      <c r="B17" s="88"/>
      <c r="C17" s="88"/>
      <c r="D17" s="88">
        <f>1/52</f>
        <v>1.9230769230769232E-2</v>
      </c>
      <c r="E17" s="88"/>
      <c r="F17" s="88">
        <f>24/52</f>
        <v>0.46153846153846156</v>
      </c>
      <c r="G17" s="88"/>
      <c r="H17" s="88"/>
      <c r="I17" s="88">
        <f>22/52</f>
        <v>0.42307692307692307</v>
      </c>
      <c r="J17" s="88"/>
      <c r="K17" s="88">
        <f>4/52</f>
        <v>7.6923076923076927E-2</v>
      </c>
      <c r="L17" s="88"/>
      <c r="M17" s="88"/>
      <c r="N17" s="88">
        <f>0/52</f>
        <v>0</v>
      </c>
      <c r="O17" s="89"/>
      <c r="P17" s="26">
        <f>SUM(A17:O17)</f>
        <v>1</v>
      </c>
    </row>
    <row r="18" spans="1:16" ht="24.75" customHeight="1" x14ac:dyDescent="0.3">
      <c r="A18" s="182" t="s">
        <v>193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26"/>
    </row>
    <row r="19" spans="1:16" ht="35.25" customHeight="1" x14ac:dyDescent="0.3">
      <c r="A19" s="198" t="s">
        <v>98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"/>
    </row>
    <row r="20" spans="1:16" ht="66.75" customHeight="1" x14ac:dyDescent="0.3">
      <c r="A20" s="199" t="s">
        <v>99</v>
      </c>
      <c r="B20" s="200"/>
      <c r="C20" s="200"/>
      <c r="D20" s="201" t="s">
        <v>100</v>
      </c>
      <c r="E20" s="201"/>
      <c r="F20" s="201"/>
      <c r="G20" s="201"/>
      <c r="H20" s="201"/>
      <c r="I20" s="201" t="s">
        <v>101</v>
      </c>
      <c r="J20" s="201"/>
      <c r="K20" s="201"/>
      <c r="L20" s="201"/>
      <c r="M20" s="80" t="s">
        <v>0</v>
      </c>
      <c r="N20" s="80"/>
      <c r="O20" s="81"/>
      <c r="P20" s="19"/>
    </row>
    <row r="21" spans="1:16" x14ac:dyDescent="0.3">
      <c r="A21" s="87">
        <f>51/52</f>
        <v>0.98076923076923073</v>
      </c>
      <c r="B21" s="88"/>
      <c r="C21" s="88"/>
      <c r="D21" s="88">
        <f>1/52</f>
        <v>1.9230769230769232E-2</v>
      </c>
      <c r="E21" s="88"/>
      <c r="F21" s="88"/>
      <c r="G21" s="88"/>
      <c r="H21" s="88"/>
      <c r="I21" s="88">
        <f>0/52</f>
        <v>0</v>
      </c>
      <c r="J21" s="88"/>
      <c r="K21" s="88"/>
      <c r="L21" s="88"/>
      <c r="M21" s="88">
        <f>0/52</f>
        <v>0</v>
      </c>
      <c r="N21" s="88"/>
      <c r="O21" s="89"/>
      <c r="P21" s="26">
        <f>A21+D21+F21+I21+K21+N21</f>
        <v>1</v>
      </c>
    </row>
    <row r="22" spans="1:16" x14ac:dyDescent="0.3">
      <c r="A22" s="187" t="s">
        <v>102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9"/>
    </row>
    <row r="23" spans="1:16" s="1" customFormat="1" ht="63.75" customHeight="1" x14ac:dyDescent="0.25">
      <c r="A23" s="190" t="s">
        <v>103</v>
      </c>
      <c r="B23" s="191"/>
      <c r="C23" s="191"/>
      <c r="D23" s="192" t="s">
        <v>104</v>
      </c>
      <c r="E23" s="192"/>
      <c r="F23" s="192"/>
      <c r="G23" s="192" t="s">
        <v>105</v>
      </c>
      <c r="H23" s="192"/>
      <c r="I23" s="192"/>
      <c r="J23" s="193" t="s">
        <v>106</v>
      </c>
      <c r="K23" s="194"/>
      <c r="L23" s="195"/>
      <c r="M23" s="80" t="s">
        <v>0</v>
      </c>
      <c r="N23" s="80"/>
      <c r="O23" s="81"/>
      <c r="P23" s="23"/>
    </row>
    <row r="24" spans="1:16" s="1" customFormat="1" ht="16.5" x14ac:dyDescent="0.25">
      <c r="A24" s="196">
        <f>20/52</f>
        <v>0.38461538461538464</v>
      </c>
      <c r="B24" s="140"/>
      <c r="C24" s="140"/>
      <c r="D24" s="140">
        <f>20/52</f>
        <v>0.38461538461538464</v>
      </c>
      <c r="E24" s="140"/>
      <c r="F24" s="140"/>
      <c r="G24" s="140">
        <f>6/52</f>
        <v>0.11538461538461539</v>
      </c>
      <c r="H24" s="140"/>
      <c r="I24" s="140"/>
      <c r="J24" s="140">
        <f>6/52</f>
        <v>0.11538461538461539</v>
      </c>
      <c r="K24" s="140"/>
      <c r="L24" s="140"/>
      <c r="M24" s="140">
        <f>0/52</f>
        <v>0</v>
      </c>
      <c r="N24" s="140"/>
      <c r="O24" s="197"/>
      <c r="P24" s="27">
        <f>SUM(A24:O24)</f>
        <v>1</v>
      </c>
    </row>
    <row r="25" spans="1:16" ht="37.5" customHeight="1" x14ac:dyDescent="0.3">
      <c r="A25" s="189" t="s">
        <v>194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9"/>
    </row>
    <row r="26" spans="1:16" s="10" customFormat="1" ht="25.5" customHeight="1" x14ac:dyDescent="0.3">
      <c r="A26" s="54" t="s">
        <v>201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0"/>
    </row>
    <row r="27" spans="1:16" s="10" customFormat="1" ht="25.5" customHeight="1" x14ac:dyDescent="0.3">
      <c r="A27" s="55" t="s">
        <v>195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0"/>
    </row>
    <row r="28" spans="1:16" s="10" customFormat="1" ht="25.5" customHeight="1" x14ac:dyDescent="0.3">
      <c r="A28" s="165" t="s">
        <v>196</v>
      </c>
      <c r="B28" s="176"/>
      <c r="C28" s="165" t="s">
        <v>197</v>
      </c>
      <c r="D28" s="176"/>
      <c r="E28" s="165" t="s">
        <v>198</v>
      </c>
      <c r="F28" s="176"/>
      <c r="G28" s="165" t="s">
        <v>199</v>
      </c>
      <c r="H28" s="176"/>
      <c r="I28" s="165" t="s">
        <v>200</v>
      </c>
      <c r="J28" s="176"/>
      <c r="K28" s="165" t="s">
        <v>206</v>
      </c>
      <c r="L28" s="176"/>
      <c r="M28" s="166" t="s">
        <v>39</v>
      </c>
      <c r="N28" s="166"/>
      <c r="O28" s="163"/>
      <c r="P28" s="20"/>
    </row>
    <row r="29" spans="1:16" s="10" customFormat="1" ht="25.5" customHeight="1" x14ac:dyDescent="0.3">
      <c r="A29" s="139">
        <f>5/52</f>
        <v>9.6153846153846159E-2</v>
      </c>
      <c r="B29" s="130"/>
      <c r="C29" s="130">
        <f>1/52</f>
        <v>1.9230769230769232E-2</v>
      </c>
      <c r="D29" s="130"/>
      <c r="E29" s="130">
        <f>10/52</f>
        <v>0.19230769230769232</v>
      </c>
      <c r="F29" s="130"/>
      <c r="G29" s="130">
        <f>13/52</f>
        <v>0.25</v>
      </c>
      <c r="H29" s="130"/>
      <c r="I29" s="130">
        <f>20/52</f>
        <v>0.38461538461538464</v>
      </c>
      <c r="J29" s="130"/>
      <c r="K29" s="130">
        <f>3/52</f>
        <v>5.7692307692307696E-2</v>
      </c>
      <c r="L29" s="130"/>
      <c r="M29" s="130">
        <f>0/52</f>
        <v>0</v>
      </c>
      <c r="N29" s="130"/>
      <c r="O29" s="133"/>
      <c r="P29" s="26">
        <f>SUM(A29:O29)</f>
        <v>1</v>
      </c>
    </row>
    <row r="30" spans="1:16" s="10" customFormat="1" ht="25.5" customHeight="1" x14ac:dyDescent="0.3">
      <c r="A30" s="55" t="s">
        <v>202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0"/>
    </row>
    <row r="31" spans="1:16" s="10" customFormat="1" ht="25.5" customHeight="1" x14ac:dyDescent="0.3">
      <c r="A31" s="165" t="s">
        <v>196</v>
      </c>
      <c r="B31" s="176"/>
      <c r="C31" s="165" t="s">
        <v>197</v>
      </c>
      <c r="D31" s="176"/>
      <c r="E31" s="165" t="s">
        <v>198</v>
      </c>
      <c r="F31" s="176"/>
      <c r="G31" s="165" t="s">
        <v>199</v>
      </c>
      <c r="H31" s="176"/>
      <c r="I31" s="165" t="s">
        <v>200</v>
      </c>
      <c r="J31" s="176"/>
      <c r="K31" s="165" t="s">
        <v>206</v>
      </c>
      <c r="L31" s="176"/>
      <c r="M31" s="166" t="s">
        <v>39</v>
      </c>
      <c r="N31" s="166"/>
      <c r="O31" s="163"/>
      <c r="P31" s="20"/>
    </row>
    <row r="32" spans="1:16" s="10" customFormat="1" ht="25.5" customHeight="1" x14ac:dyDescent="0.3">
      <c r="A32" s="139">
        <f>4/52</f>
        <v>7.6923076923076927E-2</v>
      </c>
      <c r="B32" s="130"/>
      <c r="C32" s="130">
        <f>1/52</f>
        <v>1.9230769230769232E-2</v>
      </c>
      <c r="D32" s="130"/>
      <c r="E32" s="130">
        <f>6/52</f>
        <v>0.11538461538461539</v>
      </c>
      <c r="F32" s="130"/>
      <c r="G32" s="130">
        <f>12/52</f>
        <v>0.23076923076923078</v>
      </c>
      <c r="H32" s="130"/>
      <c r="I32" s="130">
        <f>26/52</f>
        <v>0.5</v>
      </c>
      <c r="J32" s="130"/>
      <c r="K32" s="130">
        <f>3/52</f>
        <v>5.7692307692307696E-2</v>
      </c>
      <c r="L32" s="130"/>
      <c r="M32" s="130">
        <f>0/52</f>
        <v>0</v>
      </c>
      <c r="N32" s="130"/>
      <c r="O32" s="133"/>
      <c r="P32" s="26">
        <f t="shared" ref="P32:P41" si="0">SUM(A32:O32)</f>
        <v>1</v>
      </c>
    </row>
    <row r="33" spans="1:16" s="10" customFormat="1" ht="25.5" customHeight="1" x14ac:dyDescent="0.3">
      <c r="A33" s="55" t="s">
        <v>203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20"/>
    </row>
    <row r="34" spans="1:16" s="10" customFormat="1" ht="25.5" customHeight="1" x14ac:dyDescent="0.3">
      <c r="A34" s="165" t="s">
        <v>196</v>
      </c>
      <c r="B34" s="176"/>
      <c r="C34" s="165" t="s">
        <v>197</v>
      </c>
      <c r="D34" s="176"/>
      <c r="E34" s="165" t="s">
        <v>198</v>
      </c>
      <c r="F34" s="176"/>
      <c r="G34" s="165" t="s">
        <v>199</v>
      </c>
      <c r="H34" s="176"/>
      <c r="I34" s="165" t="s">
        <v>200</v>
      </c>
      <c r="J34" s="176"/>
      <c r="K34" s="165" t="s">
        <v>206</v>
      </c>
      <c r="L34" s="176"/>
      <c r="M34" s="166" t="s">
        <v>39</v>
      </c>
      <c r="N34" s="166"/>
      <c r="O34" s="163"/>
      <c r="P34" s="20"/>
    </row>
    <row r="35" spans="1:16" s="10" customFormat="1" ht="25.5" customHeight="1" x14ac:dyDescent="0.3">
      <c r="A35" s="139">
        <f>8/52</f>
        <v>0.15384615384615385</v>
      </c>
      <c r="B35" s="130"/>
      <c r="C35" s="130">
        <f>4/52</f>
        <v>7.6923076923076927E-2</v>
      </c>
      <c r="D35" s="130"/>
      <c r="E35" s="130">
        <f>11/52</f>
        <v>0.21153846153846154</v>
      </c>
      <c r="F35" s="130"/>
      <c r="G35" s="130">
        <f>7/52</f>
        <v>0.13461538461538461</v>
      </c>
      <c r="H35" s="130"/>
      <c r="I35" s="130">
        <f>18/52</f>
        <v>0.34615384615384615</v>
      </c>
      <c r="J35" s="130"/>
      <c r="K35" s="130">
        <f>4/52</f>
        <v>7.6923076923076927E-2</v>
      </c>
      <c r="L35" s="130"/>
      <c r="M35" s="130">
        <f>0/52</f>
        <v>0</v>
      </c>
      <c r="N35" s="130"/>
      <c r="O35" s="133"/>
      <c r="P35" s="26">
        <f t="shared" si="0"/>
        <v>1</v>
      </c>
    </row>
    <row r="36" spans="1:16" s="10" customFormat="1" ht="25.5" customHeight="1" x14ac:dyDescent="0.3">
      <c r="A36" s="55" t="s">
        <v>204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20"/>
    </row>
    <row r="37" spans="1:16" s="10" customFormat="1" ht="25.5" customHeight="1" x14ac:dyDescent="0.3">
      <c r="A37" s="203" t="s">
        <v>196</v>
      </c>
      <c r="B37" s="204"/>
      <c r="C37" s="203" t="s">
        <v>197</v>
      </c>
      <c r="D37" s="204"/>
      <c r="E37" s="203" t="s">
        <v>198</v>
      </c>
      <c r="F37" s="204"/>
      <c r="G37" s="203" t="s">
        <v>199</v>
      </c>
      <c r="H37" s="204"/>
      <c r="I37" s="203" t="s">
        <v>200</v>
      </c>
      <c r="J37" s="204"/>
      <c r="K37" s="203" t="s">
        <v>206</v>
      </c>
      <c r="L37" s="204"/>
      <c r="M37" s="205" t="s">
        <v>39</v>
      </c>
      <c r="N37" s="205"/>
      <c r="O37" s="206"/>
      <c r="P37" s="20"/>
    </row>
    <row r="38" spans="1:16" s="10" customFormat="1" ht="25.5" customHeight="1" x14ac:dyDescent="0.3">
      <c r="A38" s="139">
        <f>2/52</f>
        <v>3.8461538461538464E-2</v>
      </c>
      <c r="B38" s="130"/>
      <c r="C38" s="130">
        <f>1/52</f>
        <v>1.9230769230769232E-2</v>
      </c>
      <c r="D38" s="130"/>
      <c r="E38" s="130">
        <f>5/52</f>
        <v>9.6153846153846159E-2</v>
      </c>
      <c r="F38" s="130"/>
      <c r="G38" s="130">
        <f>9/52</f>
        <v>0.17307692307692307</v>
      </c>
      <c r="H38" s="130"/>
      <c r="I38" s="130">
        <f>33/52</f>
        <v>0.63461538461538458</v>
      </c>
      <c r="J38" s="130"/>
      <c r="K38" s="130">
        <f>2/52</f>
        <v>3.8461538461538464E-2</v>
      </c>
      <c r="L38" s="130"/>
      <c r="M38" s="130">
        <f>0/52</f>
        <v>0</v>
      </c>
      <c r="N38" s="130"/>
      <c r="O38" s="133"/>
      <c r="P38" s="26">
        <f t="shared" si="0"/>
        <v>0.99999999999999989</v>
      </c>
    </row>
    <row r="39" spans="1:16" s="10" customFormat="1" ht="25.5" customHeight="1" x14ac:dyDescent="0.3">
      <c r="A39" s="55" t="s">
        <v>205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20"/>
    </row>
    <row r="40" spans="1:16" s="10" customFormat="1" ht="25.5" customHeight="1" x14ac:dyDescent="0.3">
      <c r="A40" s="165" t="s">
        <v>196</v>
      </c>
      <c r="B40" s="176"/>
      <c r="C40" s="165" t="s">
        <v>197</v>
      </c>
      <c r="D40" s="176"/>
      <c r="E40" s="165" t="s">
        <v>198</v>
      </c>
      <c r="F40" s="176"/>
      <c r="G40" s="165" t="s">
        <v>199</v>
      </c>
      <c r="H40" s="176"/>
      <c r="I40" s="165" t="s">
        <v>200</v>
      </c>
      <c r="J40" s="176"/>
      <c r="K40" s="165" t="s">
        <v>206</v>
      </c>
      <c r="L40" s="176"/>
      <c r="M40" s="166" t="s">
        <v>39</v>
      </c>
      <c r="N40" s="166"/>
      <c r="O40" s="163"/>
      <c r="P40" s="20"/>
    </row>
    <row r="41" spans="1:16" s="10" customFormat="1" ht="25.5" customHeight="1" x14ac:dyDescent="0.3">
      <c r="A41" s="139">
        <f>2/52</f>
        <v>3.8461538461538464E-2</v>
      </c>
      <c r="B41" s="130"/>
      <c r="C41" s="130">
        <f>1/52</f>
        <v>1.9230769230769232E-2</v>
      </c>
      <c r="D41" s="130"/>
      <c r="E41" s="130">
        <f>7/52</f>
        <v>0.13461538461538461</v>
      </c>
      <c r="F41" s="130"/>
      <c r="G41" s="130">
        <f>8/52</f>
        <v>0.15384615384615385</v>
      </c>
      <c r="H41" s="130"/>
      <c r="I41" s="130">
        <f>29/52</f>
        <v>0.55769230769230771</v>
      </c>
      <c r="J41" s="130"/>
      <c r="K41" s="130">
        <f>3/52</f>
        <v>5.7692307692307696E-2</v>
      </c>
      <c r="L41" s="130"/>
      <c r="M41" s="130">
        <f>2/52</f>
        <v>3.8461538461538464E-2</v>
      </c>
      <c r="N41" s="130"/>
      <c r="O41" s="133"/>
      <c r="P41" s="26">
        <f t="shared" si="0"/>
        <v>1</v>
      </c>
    </row>
    <row r="42" spans="1:16" x14ac:dyDescent="0.3">
      <c r="A42" s="187" t="s">
        <v>222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9"/>
    </row>
    <row r="43" spans="1:16" s="10" customForma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0"/>
    </row>
    <row r="44" spans="1:16" ht="38.25" customHeight="1" x14ac:dyDescent="0.3">
      <c r="A44" s="181" t="s">
        <v>141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9"/>
    </row>
    <row r="45" spans="1:16" s="10" customFormat="1" ht="18.75" customHeight="1" x14ac:dyDescent="0.3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20"/>
    </row>
    <row r="46" spans="1:16" s="10" customFormat="1" ht="24.75" customHeight="1" x14ac:dyDescent="0.3">
      <c r="A46" s="56" t="s">
        <v>142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20"/>
    </row>
    <row r="47" spans="1:16" s="10" customFormat="1" ht="28.5" customHeight="1" x14ac:dyDescent="0.3">
      <c r="A47" s="164" t="s">
        <v>196</v>
      </c>
      <c r="B47" s="165"/>
      <c r="C47" s="163" t="s">
        <v>197</v>
      </c>
      <c r="D47" s="164"/>
      <c r="E47" s="165"/>
      <c r="F47" s="163" t="s">
        <v>198</v>
      </c>
      <c r="G47" s="165"/>
      <c r="H47" s="163" t="s">
        <v>199</v>
      </c>
      <c r="I47" s="164"/>
      <c r="J47" s="165"/>
      <c r="K47" s="166" t="s">
        <v>200</v>
      </c>
      <c r="L47" s="166"/>
      <c r="M47" s="163" t="s">
        <v>39</v>
      </c>
      <c r="N47" s="164"/>
      <c r="O47" s="164"/>
      <c r="P47" s="20"/>
    </row>
    <row r="48" spans="1:16" s="10" customFormat="1" ht="28.5" customHeight="1" x14ac:dyDescent="0.3">
      <c r="A48" s="139">
        <f>3/52</f>
        <v>5.7692307692307696E-2</v>
      </c>
      <c r="B48" s="130"/>
      <c r="C48" s="130">
        <f>1/52</f>
        <v>1.9230769230769232E-2</v>
      </c>
      <c r="D48" s="130"/>
      <c r="E48" s="130"/>
      <c r="F48" s="130">
        <f>3/52</f>
        <v>5.7692307692307696E-2</v>
      </c>
      <c r="G48" s="130"/>
      <c r="H48" s="130">
        <f>6/52</f>
        <v>0.11538461538461539</v>
      </c>
      <c r="I48" s="130"/>
      <c r="J48" s="130"/>
      <c r="K48" s="130">
        <f>39/52</f>
        <v>0.75</v>
      </c>
      <c r="L48" s="130"/>
      <c r="M48" s="130">
        <f>0/52</f>
        <v>0</v>
      </c>
      <c r="N48" s="130"/>
      <c r="O48" s="133"/>
      <c r="P48" s="26">
        <f>SUM(A48:O48)</f>
        <v>1</v>
      </c>
    </row>
    <row r="49" spans="1:16" s="10" customFormat="1" ht="28.5" customHeight="1" x14ac:dyDescent="0.3">
      <c r="A49" s="56" t="s">
        <v>208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20"/>
    </row>
    <row r="50" spans="1:16" s="10" customFormat="1" ht="27.75" customHeight="1" x14ac:dyDescent="0.3">
      <c r="A50" s="164" t="s">
        <v>196</v>
      </c>
      <c r="B50" s="165"/>
      <c r="C50" s="163" t="s">
        <v>197</v>
      </c>
      <c r="D50" s="164"/>
      <c r="E50" s="165"/>
      <c r="F50" s="163" t="s">
        <v>198</v>
      </c>
      <c r="G50" s="165"/>
      <c r="H50" s="163" t="s">
        <v>199</v>
      </c>
      <c r="I50" s="164"/>
      <c r="J50" s="165"/>
      <c r="K50" s="166" t="s">
        <v>200</v>
      </c>
      <c r="L50" s="166"/>
      <c r="M50" s="163" t="s">
        <v>39</v>
      </c>
      <c r="N50" s="164"/>
      <c r="O50" s="164"/>
      <c r="P50" s="20"/>
    </row>
    <row r="51" spans="1:16" s="10" customFormat="1" ht="27.75" customHeight="1" x14ac:dyDescent="0.3">
      <c r="A51" s="183">
        <f>3/52</f>
        <v>5.7692307692307696E-2</v>
      </c>
      <c r="B51" s="184"/>
      <c r="C51" s="185">
        <f>1/52</f>
        <v>1.9230769230769232E-2</v>
      </c>
      <c r="D51" s="183"/>
      <c r="E51" s="184"/>
      <c r="F51" s="185">
        <f>3/52</f>
        <v>5.7692307692307696E-2</v>
      </c>
      <c r="G51" s="184"/>
      <c r="H51" s="185">
        <f>7/52</f>
        <v>0.13461538461538461</v>
      </c>
      <c r="I51" s="183"/>
      <c r="J51" s="184"/>
      <c r="K51" s="186">
        <f>37/52</f>
        <v>0.71153846153846156</v>
      </c>
      <c r="L51" s="186"/>
      <c r="M51" s="185">
        <f>1/52</f>
        <v>1.9230769230769232E-2</v>
      </c>
      <c r="N51" s="183"/>
      <c r="O51" s="183"/>
      <c r="P51" s="26">
        <f>SUM(A51:O51)</f>
        <v>1</v>
      </c>
    </row>
    <row r="52" spans="1:16" s="10" customFormat="1" ht="38.25" customHeight="1" x14ac:dyDescent="0.3">
      <c r="A52" s="56" t="s">
        <v>143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20"/>
    </row>
    <row r="53" spans="1:16" s="10" customFormat="1" ht="27.75" customHeight="1" x14ac:dyDescent="0.3">
      <c r="A53" s="164" t="s">
        <v>196</v>
      </c>
      <c r="B53" s="165"/>
      <c r="C53" s="163" t="s">
        <v>197</v>
      </c>
      <c r="D53" s="164"/>
      <c r="E53" s="165"/>
      <c r="F53" s="163" t="s">
        <v>198</v>
      </c>
      <c r="G53" s="165"/>
      <c r="H53" s="163" t="s">
        <v>199</v>
      </c>
      <c r="I53" s="164"/>
      <c r="J53" s="165"/>
      <c r="K53" s="166" t="s">
        <v>200</v>
      </c>
      <c r="L53" s="166"/>
      <c r="M53" s="163" t="s">
        <v>39</v>
      </c>
      <c r="N53" s="164"/>
      <c r="O53" s="164"/>
      <c r="P53" s="20"/>
    </row>
    <row r="54" spans="1:16" s="10" customFormat="1" ht="27.75" customHeight="1" x14ac:dyDescent="0.3">
      <c r="A54" s="139">
        <f>4/52</f>
        <v>7.6923076923076927E-2</v>
      </c>
      <c r="B54" s="130"/>
      <c r="C54" s="130">
        <f>2/52</f>
        <v>3.8461538461538464E-2</v>
      </c>
      <c r="D54" s="130"/>
      <c r="E54" s="130"/>
      <c r="F54" s="130">
        <f>3/52</f>
        <v>5.7692307692307696E-2</v>
      </c>
      <c r="G54" s="130"/>
      <c r="H54" s="130">
        <f>8/52</f>
        <v>0.15384615384615385</v>
      </c>
      <c r="I54" s="130"/>
      <c r="J54" s="130"/>
      <c r="K54" s="130">
        <f>34/52</f>
        <v>0.65384615384615385</v>
      </c>
      <c r="L54" s="130"/>
      <c r="M54" s="130">
        <f>1/52</f>
        <v>1.9230769230769232E-2</v>
      </c>
      <c r="N54" s="130"/>
      <c r="O54" s="133"/>
      <c r="P54" s="26">
        <f>SUM(A54:O54)</f>
        <v>1</v>
      </c>
    </row>
    <row r="55" spans="1:16" s="10" customFormat="1" ht="38.25" customHeight="1" x14ac:dyDescent="0.3">
      <c r="A55" s="57" t="s">
        <v>207</v>
      </c>
      <c r="B55" s="58"/>
      <c r="C55" s="58"/>
      <c r="D55" s="58"/>
      <c r="E55" s="58"/>
      <c r="F55" s="58"/>
      <c r="G55" s="58"/>
      <c r="H55" s="58"/>
      <c r="I55" s="39"/>
      <c r="J55" s="39"/>
      <c r="K55" s="39"/>
      <c r="L55" s="39"/>
      <c r="M55" s="39"/>
      <c r="N55" s="39"/>
      <c r="O55" s="39"/>
      <c r="P55" s="20"/>
    </row>
    <row r="56" spans="1:16" ht="33" customHeight="1" x14ac:dyDescent="0.3">
      <c r="A56" s="181" t="s">
        <v>144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9"/>
    </row>
    <row r="57" spans="1:16" s="10" customFormat="1" ht="33" customHeight="1" x14ac:dyDescent="0.3">
      <c r="A57" s="56" t="s">
        <v>209</v>
      </c>
      <c r="B57" s="44"/>
      <c r="C57" s="44"/>
      <c r="D57" s="44"/>
      <c r="E57" s="44"/>
      <c r="F57" s="44"/>
      <c r="G57" s="51"/>
      <c r="H57" s="51"/>
      <c r="I57" s="51"/>
      <c r="J57" s="51"/>
      <c r="K57" s="51"/>
      <c r="L57" s="51"/>
      <c r="M57" s="51"/>
      <c r="N57" s="51"/>
      <c r="O57" s="51"/>
      <c r="P57" s="20"/>
    </row>
    <row r="58" spans="1:16" s="10" customFormat="1" ht="27" customHeight="1" x14ac:dyDescent="0.3">
      <c r="A58" s="164" t="s">
        <v>196</v>
      </c>
      <c r="B58" s="165"/>
      <c r="C58" s="163" t="s">
        <v>197</v>
      </c>
      <c r="D58" s="164"/>
      <c r="E58" s="165"/>
      <c r="F58" s="163" t="s">
        <v>198</v>
      </c>
      <c r="G58" s="165"/>
      <c r="H58" s="163" t="s">
        <v>199</v>
      </c>
      <c r="I58" s="164"/>
      <c r="J58" s="165"/>
      <c r="K58" s="166" t="s">
        <v>200</v>
      </c>
      <c r="L58" s="166"/>
      <c r="M58" s="163" t="s">
        <v>39</v>
      </c>
      <c r="N58" s="164"/>
      <c r="O58" s="164"/>
      <c r="P58" s="20"/>
    </row>
    <row r="59" spans="1:16" s="10" customFormat="1" ht="27" customHeight="1" x14ac:dyDescent="0.3">
      <c r="A59" s="139">
        <f>1/52</f>
        <v>1.9230769230769232E-2</v>
      </c>
      <c r="B59" s="130"/>
      <c r="C59" s="130">
        <f>0/52</f>
        <v>0</v>
      </c>
      <c r="D59" s="130"/>
      <c r="E59" s="130"/>
      <c r="F59" s="130">
        <f>5/52</f>
        <v>9.6153846153846159E-2</v>
      </c>
      <c r="G59" s="130"/>
      <c r="H59" s="130">
        <f>18/52</f>
        <v>0.34615384615384615</v>
      </c>
      <c r="I59" s="130"/>
      <c r="J59" s="130"/>
      <c r="K59" s="130">
        <f>28/52</f>
        <v>0.53846153846153844</v>
      </c>
      <c r="L59" s="130"/>
      <c r="M59" s="130">
        <f>0/52</f>
        <v>0</v>
      </c>
      <c r="N59" s="130"/>
      <c r="O59" s="133"/>
      <c r="P59" s="26">
        <f>SUM(A59:O59)</f>
        <v>1</v>
      </c>
    </row>
    <row r="60" spans="1:16" s="10" customFormat="1" ht="33" customHeight="1" x14ac:dyDescent="0.3">
      <c r="A60" s="56" t="s">
        <v>107</v>
      </c>
      <c r="B60" s="44"/>
      <c r="C60" s="44"/>
      <c r="D60" s="44"/>
      <c r="E60" s="44"/>
      <c r="F60" s="44"/>
      <c r="G60" s="51"/>
      <c r="H60" s="51"/>
      <c r="I60" s="51"/>
      <c r="J60" s="51"/>
      <c r="K60" s="51"/>
      <c r="L60" s="51"/>
      <c r="M60" s="51"/>
      <c r="N60" s="51"/>
      <c r="O60" s="51"/>
      <c r="P60" s="20"/>
    </row>
    <row r="61" spans="1:16" s="10" customFormat="1" ht="24.75" customHeight="1" x14ac:dyDescent="0.3">
      <c r="A61" s="164" t="s">
        <v>196</v>
      </c>
      <c r="B61" s="165"/>
      <c r="C61" s="163" t="s">
        <v>197</v>
      </c>
      <c r="D61" s="164"/>
      <c r="E61" s="165"/>
      <c r="F61" s="163" t="s">
        <v>198</v>
      </c>
      <c r="G61" s="165"/>
      <c r="H61" s="163" t="s">
        <v>199</v>
      </c>
      <c r="I61" s="164"/>
      <c r="J61" s="165"/>
      <c r="K61" s="166" t="s">
        <v>200</v>
      </c>
      <c r="L61" s="166"/>
      <c r="M61" s="163" t="s">
        <v>39</v>
      </c>
      <c r="N61" s="164"/>
      <c r="O61" s="164"/>
      <c r="P61" s="20"/>
    </row>
    <row r="62" spans="1:16" s="10" customFormat="1" ht="24.75" customHeight="1" x14ac:dyDescent="0.3">
      <c r="A62" s="139">
        <f>3/52</f>
        <v>5.7692307692307696E-2</v>
      </c>
      <c r="B62" s="130"/>
      <c r="C62" s="130">
        <f>5/52</f>
        <v>9.6153846153846159E-2</v>
      </c>
      <c r="D62" s="130"/>
      <c r="E62" s="130"/>
      <c r="F62" s="130">
        <f>7/52</f>
        <v>0.13461538461538461</v>
      </c>
      <c r="G62" s="130"/>
      <c r="H62" s="130">
        <f>10/52</f>
        <v>0.19230769230769232</v>
      </c>
      <c r="I62" s="130"/>
      <c r="J62" s="130"/>
      <c r="K62" s="130">
        <f>27/52</f>
        <v>0.51923076923076927</v>
      </c>
      <c r="L62" s="130"/>
      <c r="M62" s="130">
        <f>0/52</f>
        <v>0</v>
      </c>
      <c r="N62" s="130"/>
      <c r="O62" s="133"/>
      <c r="P62" s="26">
        <f>SUM(A62:O62)</f>
        <v>1</v>
      </c>
    </row>
    <row r="63" spans="1:16" s="10" customFormat="1" ht="33" customHeight="1" x14ac:dyDescent="0.3">
      <c r="A63" s="56" t="s">
        <v>223</v>
      </c>
      <c r="B63" s="44"/>
      <c r="C63" s="44"/>
      <c r="D63" s="44"/>
      <c r="E63" s="44"/>
      <c r="F63" s="44"/>
      <c r="G63" s="51"/>
      <c r="H63" s="51"/>
      <c r="I63" s="51"/>
      <c r="J63" s="51"/>
      <c r="K63" s="51"/>
      <c r="L63" s="51"/>
      <c r="M63" s="51"/>
      <c r="N63" s="51"/>
      <c r="O63" s="51"/>
      <c r="P63" s="20"/>
    </row>
    <row r="64" spans="1:16" s="10" customFormat="1" ht="29.25" customHeight="1" x14ac:dyDescent="0.3">
      <c r="A64" s="164" t="s">
        <v>196</v>
      </c>
      <c r="B64" s="165"/>
      <c r="C64" s="163" t="s">
        <v>197</v>
      </c>
      <c r="D64" s="164"/>
      <c r="E64" s="165"/>
      <c r="F64" s="163" t="s">
        <v>198</v>
      </c>
      <c r="G64" s="165"/>
      <c r="H64" s="163" t="s">
        <v>199</v>
      </c>
      <c r="I64" s="164"/>
      <c r="J64" s="165"/>
      <c r="K64" s="166" t="s">
        <v>200</v>
      </c>
      <c r="L64" s="166"/>
      <c r="M64" s="163" t="s">
        <v>39</v>
      </c>
      <c r="N64" s="164"/>
      <c r="O64" s="164"/>
      <c r="P64" s="20"/>
    </row>
    <row r="65" spans="1:16" s="10" customFormat="1" ht="29.25" customHeight="1" x14ac:dyDescent="0.3">
      <c r="A65" s="139">
        <f>1/52</f>
        <v>1.9230769230769232E-2</v>
      </c>
      <c r="B65" s="130"/>
      <c r="C65" s="130">
        <f>3/52</f>
        <v>5.7692307692307696E-2</v>
      </c>
      <c r="D65" s="130"/>
      <c r="E65" s="130"/>
      <c r="F65" s="130">
        <f>6/52</f>
        <v>0.11538461538461539</v>
      </c>
      <c r="G65" s="130"/>
      <c r="H65" s="130">
        <f>14/52</f>
        <v>0.26923076923076922</v>
      </c>
      <c r="I65" s="130"/>
      <c r="J65" s="130"/>
      <c r="K65" s="130">
        <f>28/52</f>
        <v>0.53846153846153844</v>
      </c>
      <c r="L65" s="130"/>
      <c r="M65" s="130">
        <f>0/52</f>
        <v>0</v>
      </c>
      <c r="N65" s="130"/>
      <c r="O65" s="133"/>
      <c r="P65" s="26">
        <f>SUM(A65:O65)</f>
        <v>1</v>
      </c>
    </row>
    <row r="66" spans="1:16" s="10" customFormat="1" ht="33" customHeight="1" x14ac:dyDescent="0.3">
      <c r="A66" s="56" t="s">
        <v>210</v>
      </c>
      <c r="B66" s="44"/>
      <c r="C66" s="44"/>
      <c r="D66" s="44"/>
      <c r="E66" s="44"/>
      <c r="F66" s="44"/>
      <c r="G66" s="51"/>
      <c r="H66" s="51"/>
      <c r="I66" s="51"/>
      <c r="J66" s="51"/>
      <c r="K66" s="51"/>
      <c r="L66" s="51"/>
      <c r="M66" s="51"/>
      <c r="N66" s="51"/>
      <c r="O66" s="51"/>
      <c r="P66" s="20"/>
    </row>
    <row r="67" spans="1:16" s="10" customFormat="1" ht="27" customHeight="1" x14ac:dyDescent="0.3">
      <c r="A67" s="164" t="s">
        <v>196</v>
      </c>
      <c r="B67" s="165"/>
      <c r="C67" s="163" t="s">
        <v>197</v>
      </c>
      <c r="D67" s="164"/>
      <c r="E67" s="165"/>
      <c r="F67" s="163" t="s">
        <v>198</v>
      </c>
      <c r="G67" s="165"/>
      <c r="H67" s="163" t="s">
        <v>199</v>
      </c>
      <c r="I67" s="164"/>
      <c r="J67" s="165"/>
      <c r="K67" s="166" t="s">
        <v>200</v>
      </c>
      <c r="L67" s="166"/>
      <c r="M67" s="163" t="s">
        <v>39</v>
      </c>
      <c r="N67" s="164"/>
      <c r="O67" s="164"/>
      <c r="P67" s="20"/>
    </row>
    <row r="68" spans="1:16" s="10" customFormat="1" ht="27" customHeight="1" x14ac:dyDescent="0.3">
      <c r="A68" s="139">
        <f>1/52</f>
        <v>1.9230769230769232E-2</v>
      </c>
      <c r="B68" s="130"/>
      <c r="C68" s="130">
        <f>0/52</f>
        <v>0</v>
      </c>
      <c r="D68" s="130"/>
      <c r="E68" s="130"/>
      <c r="F68" s="130">
        <f>3/52</f>
        <v>5.7692307692307696E-2</v>
      </c>
      <c r="G68" s="130"/>
      <c r="H68" s="130">
        <f>12/52</f>
        <v>0.23076923076923078</v>
      </c>
      <c r="I68" s="130"/>
      <c r="J68" s="130"/>
      <c r="K68" s="130">
        <f>35/52</f>
        <v>0.67307692307692313</v>
      </c>
      <c r="L68" s="130"/>
      <c r="M68" s="130">
        <f>1/52</f>
        <v>1.9230769230769232E-2</v>
      </c>
      <c r="N68" s="130"/>
      <c r="O68" s="133"/>
      <c r="P68" s="26">
        <f>SUM(A68:O68)</f>
        <v>1</v>
      </c>
    </row>
    <row r="69" spans="1:16" s="32" customFormat="1" ht="33" customHeight="1" x14ac:dyDescent="0.3">
      <c r="A69" s="170" t="s">
        <v>108</v>
      </c>
      <c r="B69" s="170"/>
      <c r="C69" s="177"/>
      <c r="D69" s="177"/>
      <c r="E69" s="177"/>
      <c r="F69" s="177"/>
      <c r="G69" s="178"/>
      <c r="H69" s="178"/>
      <c r="I69" s="179"/>
      <c r="J69" s="179"/>
      <c r="K69" s="178"/>
      <c r="L69" s="178"/>
      <c r="M69" s="180"/>
      <c r="N69" s="180"/>
      <c r="O69" s="180"/>
      <c r="P69" s="59"/>
    </row>
    <row r="70" spans="1:16" s="10" customFormat="1" ht="27" customHeight="1" x14ac:dyDescent="0.3">
      <c r="A70" s="164" t="s">
        <v>196</v>
      </c>
      <c r="B70" s="165"/>
      <c r="C70" s="163" t="s">
        <v>197</v>
      </c>
      <c r="D70" s="164"/>
      <c r="E70" s="165"/>
      <c r="F70" s="163" t="s">
        <v>198</v>
      </c>
      <c r="G70" s="165"/>
      <c r="H70" s="163" t="s">
        <v>199</v>
      </c>
      <c r="I70" s="164"/>
      <c r="J70" s="165"/>
      <c r="K70" s="166" t="s">
        <v>200</v>
      </c>
      <c r="L70" s="166"/>
      <c r="M70" s="163" t="s">
        <v>39</v>
      </c>
      <c r="N70" s="164"/>
      <c r="O70" s="164"/>
      <c r="P70" s="20"/>
    </row>
    <row r="71" spans="1:16" s="10" customFormat="1" ht="27" customHeight="1" x14ac:dyDescent="0.3">
      <c r="A71" s="134">
        <f>2/52</f>
        <v>3.8461538461538464E-2</v>
      </c>
      <c r="B71" s="139"/>
      <c r="C71" s="133">
        <f>0/52</f>
        <v>0</v>
      </c>
      <c r="D71" s="134"/>
      <c r="E71" s="139"/>
      <c r="F71" s="133">
        <f>5/52</f>
        <v>9.6153846153846159E-2</v>
      </c>
      <c r="G71" s="139"/>
      <c r="H71" s="133">
        <f>14/52</f>
        <v>0.26923076923076922</v>
      </c>
      <c r="I71" s="134"/>
      <c r="J71" s="139"/>
      <c r="K71" s="133">
        <f>31/52</f>
        <v>0.59615384615384615</v>
      </c>
      <c r="L71" s="139"/>
      <c r="M71" s="133">
        <f>0/52</f>
        <v>0</v>
      </c>
      <c r="N71" s="134"/>
      <c r="O71" s="134"/>
      <c r="P71" s="26">
        <f>SUM(A71:O71)</f>
        <v>1</v>
      </c>
    </row>
    <row r="72" spans="1:16" s="32" customFormat="1" ht="33" customHeight="1" x14ac:dyDescent="0.3">
      <c r="A72" s="61" t="s">
        <v>211</v>
      </c>
      <c r="B72" s="62"/>
      <c r="C72" s="62"/>
      <c r="D72" s="62"/>
      <c r="E72" s="62"/>
      <c r="F72" s="62"/>
      <c r="G72" s="62"/>
      <c r="H72" s="62"/>
      <c r="I72" s="62"/>
      <c r="J72" s="60"/>
      <c r="K72" s="60"/>
      <c r="L72" s="60"/>
      <c r="M72" s="60"/>
      <c r="N72" s="60"/>
      <c r="O72" s="60"/>
      <c r="P72" s="59"/>
    </row>
    <row r="73" spans="1:16" s="32" customFormat="1" ht="21.75" customHeight="1" x14ac:dyDescent="0.3">
      <c r="A73" s="164" t="s">
        <v>196</v>
      </c>
      <c r="B73" s="165"/>
      <c r="C73" s="163" t="s">
        <v>197</v>
      </c>
      <c r="D73" s="164"/>
      <c r="E73" s="165"/>
      <c r="F73" s="163" t="s">
        <v>198</v>
      </c>
      <c r="G73" s="165"/>
      <c r="H73" s="163" t="s">
        <v>199</v>
      </c>
      <c r="I73" s="164"/>
      <c r="J73" s="165"/>
      <c r="K73" s="166" t="s">
        <v>200</v>
      </c>
      <c r="L73" s="166"/>
      <c r="M73" s="163" t="s">
        <v>39</v>
      </c>
      <c r="N73" s="164"/>
      <c r="O73" s="164"/>
      <c r="P73" s="59"/>
    </row>
    <row r="74" spans="1:16" s="32" customFormat="1" ht="21.75" customHeight="1" x14ac:dyDescent="0.3">
      <c r="A74" s="134">
        <f>1/52</f>
        <v>1.9230769230769232E-2</v>
      </c>
      <c r="B74" s="139"/>
      <c r="C74" s="133">
        <f>1/52</f>
        <v>1.9230769230769232E-2</v>
      </c>
      <c r="D74" s="134"/>
      <c r="E74" s="139"/>
      <c r="F74" s="133">
        <f>3/52</f>
        <v>5.7692307692307696E-2</v>
      </c>
      <c r="G74" s="139"/>
      <c r="H74" s="133">
        <f>10/52</f>
        <v>0.19230769230769232</v>
      </c>
      <c r="I74" s="134"/>
      <c r="J74" s="139"/>
      <c r="K74" s="133">
        <f>13/52</f>
        <v>0.25</v>
      </c>
      <c r="L74" s="139"/>
      <c r="M74" s="133">
        <f>24/52</f>
        <v>0.46153846153846156</v>
      </c>
      <c r="N74" s="134"/>
      <c r="O74" s="134"/>
      <c r="P74" s="31">
        <f>SUM(A74:O74)</f>
        <v>1</v>
      </c>
    </row>
    <row r="75" spans="1:16" s="32" customFormat="1" ht="21.75" customHeight="1" x14ac:dyDescent="0.3">
      <c r="A75" s="73" t="s">
        <v>224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59"/>
    </row>
    <row r="76" spans="1:16" s="32" customFormat="1" ht="21.75" customHeight="1" x14ac:dyDescent="0.3">
      <c r="A76" s="73" t="s">
        <v>225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59"/>
    </row>
    <row r="77" spans="1:16" s="1" customFormat="1" ht="15.75" customHeight="1" x14ac:dyDescent="0.3">
      <c r="A77" s="188" t="s">
        <v>149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21"/>
    </row>
    <row r="78" spans="1:16" s="13" customFormat="1" ht="27" customHeight="1" x14ac:dyDescent="0.3">
      <c r="A78" s="64" t="s">
        <v>212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46"/>
      <c r="P78" s="34"/>
    </row>
    <row r="79" spans="1:16" s="13" customFormat="1" ht="27" customHeight="1" x14ac:dyDescent="0.3">
      <c r="A79" s="56" t="s">
        <v>150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34"/>
    </row>
    <row r="80" spans="1:16" s="13" customFormat="1" x14ac:dyDescent="0.25">
      <c r="A80" s="165" t="s">
        <v>196</v>
      </c>
      <c r="B80" s="176"/>
      <c r="C80" s="165" t="s">
        <v>197</v>
      </c>
      <c r="D80" s="176"/>
      <c r="E80" s="165" t="s">
        <v>198</v>
      </c>
      <c r="F80" s="176"/>
      <c r="G80" s="165" t="s">
        <v>199</v>
      </c>
      <c r="H80" s="176"/>
      <c r="I80" s="165" t="s">
        <v>200</v>
      </c>
      <c r="J80" s="176"/>
      <c r="K80" s="165" t="s">
        <v>206</v>
      </c>
      <c r="L80" s="176"/>
      <c r="M80" s="166" t="s">
        <v>39</v>
      </c>
      <c r="N80" s="166"/>
      <c r="O80" s="163"/>
      <c r="P80" s="34"/>
    </row>
    <row r="81" spans="1:16" s="13" customFormat="1" ht="16.5" x14ac:dyDescent="0.25">
      <c r="A81" s="139">
        <f>7/52</f>
        <v>0.13461538461538461</v>
      </c>
      <c r="B81" s="130"/>
      <c r="C81" s="130">
        <f>4/52</f>
        <v>7.6923076923076927E-2</v>
      </c>
      <c r="D81" s="130"/>
      <c r="E81" s="130">
        <f>3/52</f>
        <v>5.7692307692307696E-2</v>
      </c>
      <c r="F81" s="130"/>
      <c r="G81" s="130">
        <f>10/52</f>
        <v>0.19230769230769232</v>
      </c>
      <c r="H81" s="130"/>
      <c r="I81" s="130">
        <f>22/52</f>
        <v>0.42307692307692307</v>
      </c>
      <c r="J81" s="130"/>
      <c r="K81" s="130">
        <f>6/52</f>
        <v>0.11538461538461539</v>
      </c>
      <c r="L81" s="130"/>
      <c r="M81" s="130">
        <f>0/52</f>
        <v>0</v>
      </c>
      <c r="N81" s="130"/>
      <c r="O81" s="133"/>
      <c r="P81" s="27">
        <f>SUM(A81:O81)</f>
        <v>1</v>
      </c>
    </row>
    <row r="82" spans="1:16" s="13" customFormat="1" x14ac:dyDescent="0.3">
      <c r="A82" s="52" t="s">
        <v>213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34"/>
    </row>
    <row r="83" spans="1:16" s="13" customFormat="1" x14ac:dyDescent="0.25">
      <c r="A83" s="165" t="s">
        <v>196</v>
      </c>
      <c r="B83" s="176"/>
      <c r="C83" s="165" t="s">
        <v>197</v>
      </c>
      <c r="D83" s="176"/>
      <c r="E83" s="165" t="s">
        <v>198</v>
      </c>
      <c r="F83" s="176"/>
      <c r="G83" s="165" t="s">
        <v>199</v>
      </c>
      <c r="H83" s="176"/>
      <c r="I83" s="165" t="s">
        <v>200</v>
      </c>
      <c r="J83" s="176"/>
      <c r="K83" s="165" t="s">
        <v>206</v>
      </c>
      <c r="L83" s="176"/>
      <c r="M83" s="166" t="s">
        <v>39</v>
      </c>
      <c r="N83" s="166"/>
      <c r="O83" s="163"/>
      <c r="P83" s="34"/>
    </row>
    <row r="84" spans="1:16" s="13" customFormat="1" ht="16.5" x14ac:dyDescent="0.25">
      <c r="A84" s="139">
        <f>17/52</f>
        <v>0.32692307692307693</v>
      </c>
      <c r="B84" s="130"/>
      <c r="C84" s="130">
        <f>7/52</f>
        <v>0.13461538461538461</v>
      </c>
      <c r="D84" s="130"/>
      <c r="E84" s="130">
        <f>4/52</f>
        <v>7.6923076923076927E-2</v>
      </c>
      <c r="F84" s="130"/>
      <c r="G84" s="130">
        <f>9/52</f>
        <v>0.17307692307692307</v>
      </c>
      <c r="H84" s="130"/>
      <c r="I84" s="130">
        <f>9/52</f>
        <v>0.17307692307692307</v>
      </c>
      <c r="J84" s="130"/>
      <c r="K84" s="130">
        <f>6/52</f>
        <v>0.11538461538461539</v>
      </c>
      <c r="L84" s="130"/>
      <c r="M84" s="130">
        <f>0/52</f>
        <v>0</v>
      </c>
      <c r="N84" s="130"/>
      <c r="O84" s="133"/>
      <c r="P84" s="27">
        <f>SUM(A84:O84)</f>
        <v>1.0000000000000002</v>
      </c>
    </row>
    <row r="85" spans="1:16" s="13" customFormat="1" x14ac:dyDescent="0.3">
      <c r="A85" s="52" t="s">
        <v>151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34"/>
    </row>
    <row r="86" spans="1:16" s="13" customFormat="1" x14ac:dyDescent="0.25">
      <c r="A86" s="165" t="s">
        <v>196</v>
      </c>
      <c r="B86" s="176"/>
      <c r="C86" s="165" t="s">
        <v>197</v>
      </c>
      <c r="D86" s="176"/>
      <c r="E86" s="165" t="s">
        <v>198</v>
      </c>
      <c r="F86" s="176"/>
      <c r="G86" s="165" t="s">
        <v>199</v>
      </c>
      <c r="H86" s="176"/>
      <c r="I86" s="165" t="s">
        <v>200</v>
      </c>
      <c r="J86" s="176"/>
      <c r="K86" s="165" t="s">
        <v>206</v>
      </c>
      <c r="L86" s="176"/>
      <c r="M86" s="166" t="s">
        <v>39</v>
      </c>
      <c r="N86" s="166"/>
      <c r="O86" s="163"/>
      <c r="P86" s="34"/>
    </row>
    <row r="87" spans="1:16" s="13" customFormat="1" ht="16.5" x14ac:dyDescent="0.25">
      <c r="A87" s="139">
        <f>11/52</f>
        <v>0.21153846153846154</v>
      </c>
      <c r="B87" s="130"/>
      <c r="C87" s="130">
        <f>3/52</f>
        <v>5.7692307692307696E-2</v>
      </c>
      <c r="D87" s="130"/>
      <c r="E87" s="130">
        <f>16/52</f>
        <v>0.30769230769230771</v>
      </c>
      <c r="F87" s="130"/>
      <c r="G87" s="130">
        <f>6/52</f>
        <v>0.11538461538461539</v>
      </c>
      <c r="H87" s="130"/>
      <c r="I87" s="130">
        <f>15/52</f>
        <v>0.28846153846153844</v>
      </c>
      <c r="J87" s="130"/>
      <c r="K87" s="130">
        <f>1/52</f>
        <v>1.9230769230769232E-2</v>
      </c>
      <c r="L87" s="130"/>
      <c r="M87" s="130">
        <f>0/52</f>
        <v>0</v>
      </c>
      <c r="N87" s="130"/>
      <c r="O87" s="133"/>
      <c r="P87" s="27">
        <f>SUM(A87:O87)</f>
        <v>1</v>
      </c>
    </row>
    <row r="88" spans="1:16" s="13" customFormat="1" x14ac:dyDescent="0.3">
      <c r="A88" s="52" t="s">
        <v>214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34"/>
    </row>
    <row r="89" spans="1:16" s="13" customFormat="1" x14ac:dyDescent="0.25">
      <c r="A89" s="165" t="s">
        <v>196</v>
      </c>
      <c r="B89" s="176"/>
      <c r="C89" s="165" t="s">
        <v>197</v>
      </c>
      <c r="D89" s="176"/>
      <c r="E89" s="165" t="s">
        <v>198</v>
      </c>
      <c r="F89" s="176"/>
      <c r="G89" s="165" t="s">
        <v>199</v>
      </c>
      <c r="H89" s="176"/>
      <c r="I89" s="165" t="s">
        <v>200</v>
      </c>
      <c r="J89" s="176"/>
      <c r="K89" s="165" t="s">
        <v>206</v>
      </c>
      <c r="L89" s="176"/>
      <c r="M89" s="166" t="s">
        <v>39</v>
      </c>
      <c r="N89" s="166"/>
      <c r="O89" s="163"/>
      <c r="P89" s="34"/>
    </row>
    <row r="90" spans="1:16" s="13" customFormat="1" ht="16.5" x14ac:dyDescent="0.25">
      <c r="A90" s="139">
        <f>15/52</f>
        <v>0.28846153846153844</v>
      </c>
      <c r="B90" s="130"/>
      <c r="C90" s="130">
        <f>3/52</f>
        <v>5.7692307692307696E-2</v>
      </c>
      <c r="D90" s="130"/>
      <c r="E90" s="130">
        <f>8/52</f>
        <v>0.15384615384615385</v>
      </c>
      <c r="F90" s="130"/>
      <c r="G90" s="130">
        <f>6/52</f>
        <v>0.11538461538461539</v>
      </c>
      <c r="H90" s="130"/>
      <c r="I90" s="130">
        <f>10/52</f>
        <v>0.19230769230769232</v>
      </c>
      <c r="J90" s="130"/>
      <c r="K90" s="130">
        <f>9/52</f>
        <v>0.17307692307692307</v>
      </c>
      <c r="L90" s="130"/>
      <c r="M90" s="130">
        <f>1/52</f>
        <v>1.9230769230769232E-2</v>
      </c>
      <c r="N90" s="130"/>
      <c r="O90" s="133"/>
      <c r="P90" s="27">
        <f>SUM(A90:O90)</f>
        <v>1</v>
      </c>
    </row>
    <row r="91" spans="1:16" s="13" customFormat="1" x14ac:dyDescent="0.3">
      <c r="A91" s="52" t="s">
        <v>152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34"/>
    </row>
    <row r="92" spans="1:16" s="13" customFormat="1" x14ac:dyDescent="0.25">
      <c r="A92" s="165" t="s">
        <v>196</v>
      </c>
      <c r="B92" s="176"/>
      <c r="C92" s="165" t="s">
        <v>197</v>
      </c>
      <c r="D92" s="176"/>
      <c r="E92" s="165" t="s">
        <v>198</v>
      </c>
      <c r="F92" s="176"/>
      <c r="G92" s="165" t="s">
        <v>199</v>
      </c>
      <c r="H92" s="176"/>
      <c r="I92" s="165" t="s">
        <v>200</v>
      </c>
      <c r="J92" s="176"/>
      <c r="K92" s="165" t="s">
        <v>206</v>
      </c>
      <c r="L92" s="176"/>
      <c r="M92" s="166" t="s">
        <v>39</v>
      </c>
      <c r="N92" s="166"/>
      <c r="O92" s="163"/>
      <c r="P92" s="34"/>
    </row>
    <row r="93" spans="1:16" s="13" customFormat="1" ht="16.5" x14ac:dyDescent="0.25">
      <c r="A93" s="139">
        <f>2/52</f>
        <v>3.8461538461538464E-2</v>
      </c>
      <c r="B93" s="130"/>
      <c r="C93" s="130">
        <f>3/52</f>
        <v>5.7692307692307696E-2</v>
      </c>
      <c r="D93" s="130"/>
      <c r="E93" s="130">
        <f>8/52</f>
        <v>0.15384615384615385</v>
      </c>
      <c r="F93" s="130"/>
      <c r="G93" s="130">
        <f>13/52</f>
        <v>0.25</v>
      </c>
      <c r="H93" s="130"/>
      <c r="I93" s="130">
        <f>22/52</f>
        <v>0.42307692307692307</v>
      </c>
      <c r="J93" s="130"/>
      <c r="K93" s="130">
        <f>3/52</f>
        <v>5.7692307692307696E-2</v>
      </c>
      <c r="L93" s="130"/>
      <c r="M93" s="130">
        <f>1/52</f>
        <v>1.9230769230769232E-2</v>
      </c>
      <c r="N93" s="130"/>
      <c r="O93" s="133"/>
      <c r="P93" s="27">
        <f>SUM(A93:O93)</f>
        <v>1</v>
      </c>
    </row>
    <row r="94" spans="1:16" s="13" customFormat="1" x14ac:dyDescent="0.3">
      <c r="A94" s="52" t="s">
        <v>215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34"/>
    </row>
    <row r="95" spans="1:16" s="13" customFormat="1" x14ac:dyDescent="0.25">
      <c r="A95" s="165" t="s">
        <v>196</v>
      </c>
      <c r="B95" s="176"/>
      <c r="C95" s="165" t="s">
        <v>197</v>
      </c>
      <c r="D95" s="176"/>
      <c r="E95" s="165" t="s">
        <v>198</v>
      </c>
      <c r="F95" s="176"/>
      <c r="G95" s="165" t="s">
        <v>199</v>
      </c>
      <c r="H95" s="176"/>
      <c r="I95" s="165" t="s">
        <v>200</v>
      </c>
      <c r="J95" s="176"/>
      <c r="K95" s="165" t="s">
        <v>206</v>
      </c>
      <c r="L95" s="176"/>
      <c r="M95" s="166" t="s">
        <v>39</v>
      </c>
      <c r="N95" s="166"/>
      <c r="O95" s="163"/>
      <c r="P95" s="34"/>
    </row>
    <row r="96" spans="1:16" s="13" customFormat="1" ht="16.5" x14ac:dyDescent="0.25">
      <c r="A96" s="139">
        <f>13/52</f>
        <v>0.25</v>
      </c>
      <c r="B96" s="130"/>
      <c r="C96" s="130">
        <f>3/52</f>
        <v>5.7692307692307696E-2</v>
      </c>
      <c r="D96" s="130"/>
      <c r="E96" s="130">
        <f>6/52</f>
        <v>0.11538461538461539</v>
      </c>
      <c r="F96" s="130"/>
      <c r="G96" s="130">
        <f>7/52</f>
        <v>0.13461538461538461</v>
      </c>
      <c r="H96" s="130"/>
      <c r="I96" s="130">
        <f>14/52</f>
        <v>0.26923076923076922</v>
      </c>
      <c r="J96" s="130"/>
      <c r="K96" s="130">
        <f>9/52</f>
        <v>0.17307692307692307</v>
      </c>
      <c r="L96" s="130"/>
      <c r="M96" s="130">
        <f>0/52</f>
        <v>0</v>
      </c>
      <c r="N96" s="130"/>
      <c r="O96" s="133"/>
      <c r="P96" s="27">
        <f>SUM(A96:O96)</f>
        <v>1</v>
      </c>
    </row>
    <row r="97" spans="1:16" s="13" customFormat="1" x14ac:dyDescent="0.3">
      <c r="A97" s="52" t="s">
        <v>216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34"/>
    </row>
    <row r="98" spans="1:16" s="13" customFormat="1" ht="24.75" customHeight="1" x14ac:dyDescent="0.25">
      <c r="A98" s="165" t="s">
        <v>196</v>
      </c>
      <c r="B98" s="176"/>
      <c r="C98" s="165" t="s">
        <v>197</v>
      </c>
      <c r="D98" s="176"/>
      <c r="E98" s="165" t="s">
        <v>198</v>
      </c>
      <c r="F98" s="176"/>
      <c r="G98" s="165" t="s">
        <v>199</v>
      </c>
      <c r="H98" s="176"/>
      <c r="I98" s="165" t="s">
        <v>200</v>
      </c>
      <c r="J98" s="176"/>
      <c r="K98" s="165" t="s">
        <v>206</v>
      </c>
      <c r="L98" s="176"/>
      <c r="M98" s="166" t="s">
        <v>39</v>
      </c>
      <c r="N98" s="166"/>
      <c r="O98" s="163"/>
      <c r="P98" s="34"/>
    </row>
    <row r="99" spans="1:16" s="13" customFormat="1" ht="24.75" customHeight="1" x14ac:dyDescent="0.25">
      <c r="A99" s="139">
        <f>7/52</f>
        <v>0.13461538461538461</v>
      </c>
      <c r="B99" s="130"/>
      <c r="C99" s="130">
        <f>5/52</f>
        <v>9.6153846153846159E-2</v>
      </c>
      <c r="D99" s="130"/>
      <c r="E99" s="130">
        <f>8/52</f>
        <v>0.15384615384615385</v>
      </c>
      <c r="F99" s="130"/>
      <c r="G99" s="130">
        <f>9/52</f>
        <v>0.17307692307692307</v>
      </c>
      <c r="H99" s="130"/>
      <c r="I99" s="130">
        <f>22/52</f>
        <v>0.42307692307692307</v>
      </c>
      <c r="J99" s="130"/>
      <c r="K99" s="130">
        <f>1/52</f>
        <v>1.9230769230769232E-2</v>
      </c>
      <c r="L99" s="130"/>
      <c r="M99" s="130">
        <f>0/52</f>
        <v>0</v>
      </c>
      <c r="N99" s="130"/>
      <c r="O99" s="133"/>
      <c r="P99" s="27">
        <f>SUM(A99:O99)</f>
        <v>1</v>
      </c>
    </row>
    <row r="100" spans="1:16" s="13" customFormat="1" ht="33" customHeight="1" x14ac:dyDescent="0.3">
      <c r="A100" s="49" t="s">
        <v>153</v>
      </c>
      <c r="B100" s="50"/>
      <c r="C100" s="50"/>
      <c r="D100" s="50"/>
      <c r="E100" s="50"/>
      <c r="F100" s="50"/>
      <c r="G100" s="50"/>
      <c r="H100" s="50"/>
      <c r="I100" s="48"/>
      <c r="J100" s="48"/>
      <c r="K100" s="48"/>
      <c r="L100" s="48"/>
      <c r="M100" s="48"/>
      <c r="N100" s="48"/>
      <c r="O100" s="48"/>
      <c r="P100" s="34"/>
    </row>
    <row r="101" spans="1:16" s="1" customFormat="1" ht="24" customHeight="1" x14ac:dyDescent="0.25">
      <c r="A101" s="175" t="s">
        <v>154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21"/>
    </row>
    <row r="102" spans="1:16" s="13" customFormat="1" ht="24" customHeight="1" x14ac:dyDescent="0.3">
      <c r="A102" s="65" t="s">
        <v>155</v>
      </c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34"/>
    </row>
    <row r="103" spans="1:16" s="13" customFormat="1" ht="39.75" customHeight="1" x14ac:dyDescent="0.25">
      <c r="A103" s="164" t="s">
        <v>196</v>
      </c>
      <c r="B103" s="165"/>
      <c r="C103" s="163" t="s">
        <v>197</v>
      </c>
      <c r="D103" s="164"/>
      <c r="E103" s="165"/>
      <c r="F103" s="163" t="s">
        <v>198</v>
      </c>
      <c r="G103" s="165"/>
      <c r="H103" s="163" t="s">
        <v>199</v>
      </c>
      <c r="I103" s="164"/>
      <c r="J103" s="165"/>
      <c r="K103" s="166" t="s">
        <v>200</v>
      </c>
      <c r="L103" s="166"/>
      <c r="M103" s="163" t="s">
        <v>39</v>
      </c>
      <c r="N103" s="164"/>
      <c r="O103" s="164"/>
      <c r="P103" s="34"/>
    </row>
    <row r="104" spans="1:16" s="13" customFormat="1" ht="39.75" customHeight="1" x14ac:dyDescent="0.25">
      <c r="A104" s="134">
        <f>1/52</f>
        <v>1.9230769230769232E-2</v>
      </c>
      <c r="B104" s="139"/>
      <c r="C104" s="133">
        <f>1/52</f>
        <v>1.9230769230769232E-2</v>
      </c>
      <c r="D104" s="134"/>
      <c r="E104" s="139"/>
      <c r="F104" s="133">
        <f>11/52</f>
        <v>0.21153846153846154</v>
      </c>
      <c r="G104" s="139"/>
      <c r="H104" s="133">
        <f>10/52</f>
        <v>0.19230769230769232</v>
      </c>
      <c r="I104" s="134"/>
      <c r="J104" s="139"/>
      <c r="K104" s="133">
        <f>28/52</f>
        <v>0.53846153846153844</v>
      </c>
      <c r="L104" s="139"/>
      <c r="M104" s="133">
        <f>1/52</f>
        <v>1.9230769230769232E-2</v>
      </c>
      <c r="N104" s="134"/>
      <c r="O104" s="134"/>
      <c r="P104" s="27">
        <f>SUM(A104:O104)</f>
        <v>1</v>
      </c>
    </row>
    <row r="105" spans="1:16" s="13" customFormat="1" ht="25.5" customHeight="1" x14ac:dyDescent="0.3">
      <c r="A105" s="68" t="s">
        <v>156</v>
      </c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34"/>
    </row>
    <row r="106" spans="1:16" s="13" customFormat="1" ht="39.75" customHeight="1" x14ac:dyDescent="0.25">
      <c r="A106" s="164" t="s">
        <v>196</v>
      </c>
      <c r="B106" s="165"/>
      <c r="C106" s="163" t="s">
        <v>197</v>
      </c>
      <c r="D106" s="164"/>
      <c r="E106" s="165"/>
      <c r="F106" s="163" t="s">
        <v>198</v>
      </c>
      <c r="G106" s="165"/>
      <c r="H106" s="163" t="s">
        <v>199</v>
      </c>
      <c r="I106" s="164"/>
      <c r="J106" s="165"/>
      <c r="K106" s="166" t="s">
        <v>200</v>
      </c>
      <c r="L106" s="166"/>
      <c r="M106" s="163" t="s">
        <v>39</v>
      </c>
      <c r="N106" s="164"/>
      <c r="O106" s="164"/>
      <c r="P106" s="34"/>
    </row>
    <row r="107" spans="1:16" s="13" customFormat="1" ht="39.75" customHeight="1" x14ac:dyDescent="0.25">
      <c r="A107" s="134">
        <f>0/52</f>
        <v>0</v>
      </c>
      <c r="B107" s="139"/>
      <c r="C107" s="133">
        <f>3/52</f>
        <v>5.7692307692307696E-2</v>
      </c>
      <c r="D107" s="134"/>
      <c r="E107" s="139"/>
      <c r="F107" s="133">
        <f>8/52</f>
        <v>0.15384615384615385</v>
      </c>
      <c r="G107" s="139"/>
      <c r="H107" s="133">
        <f>9/52</f>
        <v>0.17307692307692307</v>
      </c>
      <c r="I107" s="134"/>
      <c r="J107" s="139"/>
      <c r="K107" s="133">
        <f>32/52</f>
        <v>0.61538461538461542</v>
      </c>
      <c r="L107" s="139"/>
      <c r="M107" s="133">
        <f>0/52</f>
        <v>0</v>
      </c>
      <c r="N107" s="134"/>
      <c r="O107" s="134"/>
      <c r="P107" s="27">
        <f>SUM(A107:O107)</f>
        <v>1</v>
      </c>
    </row>
    <row r="108" spans="1:16" s="13" customFormat="1" ht="26.25" customHeight="1" x14ac:dyDescent="0.3">
      <c r="A108" s="68" t="s">
        <v>157</v>
      </c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34"/>
    </row>
    <row r="109" spans="1:16" s="13" customFormat="1" ht="39.75" customHeight="1" x14ac:dyDescent="0.25">
      <c r="A109" s="164" t="s">
        <v>196</v>
      </c>
      <c r="B109" s="165"/>
      <c r="C109" s="163" t="s">
        <v>197</v>
      </c>
      <c r="D109" s="164"/>
      <c r="E109" s="165"/>
      <c r="F109" s="163" t="s">
        <v>198</v>
      </c>
      <c r="G109" s="165"/>
      <c r="H109" s="163" t="s">
        <v>199</v>
      </c>
      <c r="I109" s="164"/>
      <c r="J109" s="165"/>
      <c r="K109" s="166" t="s">
        <v>200</v>
      </c>
      <c r="L109" s="166"/>
      <c r="M109" s="163" t="s">
        <v>39</v>
      </c>
      <c r="N109" s="164"/>
      <c r="O109" s="164"/>
      <c r="P109" s="34"/>
    </row>
    <row r="110" spans="1:16" s="13" customFormat="1" ht="39.75" customHeight="1" x14ac:dyDescent="0.25">
      <c r="A110" s="134">
        <f>1/52</f>
        <v>1.9230769230769232E-2</v>
      </c>
      <c r="B110" s="139"/>
      <c r="C110" s="133">
        <f>0/52</f>
        <v>0</v>
      </c>
      <c r="D110" s="134"/>
      <c r="E110" s="139"/>
      <c r="F110" s="133">
        <f>9/52</f>
        <v>0.17307692307692307</v>
      </c>
      <c r="G110" s="139"/>
      <c r="H110" s="133">
        <f>8/52</f>
        <v>0.15384615384615385</v>
      </c>
      <c r="I110" s="134"/>
      <c r="J110" s="139"/>
      <c r="K110" s="133">
        <f>34/52</f>
        <v>0.65384615384615385</v>
      </c>
      <c r="L110" s="139"/>
      <c r="M110" s="133">
        <f>0/52</f>
        <v>0</v>
      </c>
      <c r="N110" s="134"/>
      <c r="O110" s="134"/>
      <c r="P110" s="27">
        <f>SUM(A110:O110)</f>
        <v>1</v>
      </c>
    </row>
    <row r="111" spans="1:16" s="13" customFormat="1" ht="21.75" customHeight="1" x14ac:dyDescent="0.3">
      <c r="A111" s="169" t="s">
        <v>158</v>
      </c>
      <c r="B111" s="170"/>
      <c r="C111" s="170"/>
      <c r="D111" s="170"/>
      <c r="E111" s="170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34"/>
    </row>
    <row r="112" spans="1:16" s="13" customFormat="1" ht="39.75" customHeight="1" x14ac:dyDescent="0.25">
      <c r="A112" s="164" t="s">
        <v>196</v>
      </c>
      <c r="B112" s="165"/>
      <c r="C112" s="163" t="s">
        <v>197</v>
      </c>
      <c r="D112" s="164"/>
      <c r="E112" s="165"/>
      <c r="F112" s="163" t="s">
        <v>198</v>
      </c>
      <c r="G112" s="165"/>
      <c r="H112" s="163" t="s">
        <v>199</v>
      </c>
      <c r="I112" s="164"/>
      <c r="J112" s="165"/>
      <c r="K112" s="166" t="s">
        <v>200</v>
      </c>
      <c r="L112" s="166"/>
      <c r="M112" s="163" t="s">
        <v>39</v>
      </c>
      <c r="N112" s="164"/>
      <c r="O112" s="164"/>
      <c r="P112" s="34"/>
    </row>
    <row r="113" spans="1:16" s="13" customFormat="1" ht="39.75" customHeight="1" x14ac:dyDescent="0.25">
      <c r="A113" s="134">
        <f>0/52</f>
        <v>0</v>
      </c>
      <c r="B113" s="139"/>
      <c r="C113" s="133">
        <f>2/52</f>
        <v>3.8461538461538464E-2</v>
      </c>
      <c r="D113" s="134"/>
      <c r="E113" s="139"/>
      <c r="F113" s="133">
        <f>7/52</f>
        <v>0.13461538461538461</v>
      </c>
      <c r="G113" s="139"/>
      <c r="H113" s="133">
        <f>12/52</f>
        <v>0.23076923076923078</v>
      </c>
      <c r="I113" s="134"/>
      <c r="J113" s="139"/>
      <c r="K113" s="133">
        <f>31/52</f>
        <v>0.59615384615384615</v>
      </c>
      <c r="L113" s="139"/>
      <c r="M113" s="133">
        <f>0/52</f>
        <v>0</v>
      </c>
      <c r="N113" s="134"/>
      <c r="O113" s="134"/>
      <c r="P113" s="27">
        <f>SUM(A113:O113)</f>
        <v>1</v>
      </c>
    </row>
    <row r="114" spans="1:16" s="13" customFormat="1" ht="18.75" customHeight="1" x14ac:dyDescent="0.3">
      <c r="A114" s="169" t="s">
        <v>159</v>
      </c>
      <c r="B114" s="170"/>
      <c r="C114" s="170"/>
      <c r="D114" s="170"/>
      <c r="E114" s="170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34"/>
    </row>
    <row r="115" spans="1:16" s="13" customFormat="1" ht="39.75" customHeight="1" x14ac:dyDescent="0.25">
      <c r="A115" s="164" t="s">
        <v>196</v>
      </c>
      <c r="B115" s="165"/>
      <c r="C115" s="163" t="s">
        <v>197</v>
      </c>
      <c r="D115" s="164"/>
      <c r="E115" s="165"/>
      <c r="F115" s="163" t="s">
        <v>198</v>
      </c>
      <c r="G115" s="165"/>
      <c r="H115" s="163" t="s">
        <v>199</v>
      </c>
      <c r="I115" s="164"/>
      <c r="J115" s="165"/>
      <c r="K115" s="166" t="s">
        <v>200</v>
      </c>
      <c r="L115" s="166"/>
      <c r="M115" s="163" t="s">
        <v>39</v>
      </c>
      <c r="N115" s="164"/>
      <c r="O115" s="164"/>
      <c r="P115" s="34"/>
    </row>
    <row r="116" spans="1:16" s="13" customFormat="1" ht="39.75" customHeight="1" x14ac:dyDescent="0.25">
      <c r="A116" s="134">
        <f>1/52</f>
        <v>1.9230769230769232E-2</v>
      </c>
      <c r="B116" s="139"/>
      <c r="C116" s="133">
        <f>2/52</f>
        <v>3.8461538461538464E-2</v>
      </c>
      <c r="D116" s="134"/>
      <c r="E116" s="139"/>
      <c r="F116" s="133">
        <f>8/52</f>
        <v>0.15384615384615385</v>
      </c>
      <c r="G116" s="139"/>
      <c r="H116" s="133">
        <f>8/52</f>
        <v>0.15384615384615385</v>
      </c>
      <c r="I116" s="134"/>
      <c r="J116" s="139"/>
      <c r="K116" s="133">
        <f>33/52</f>
        <v>0.63461538461538458</v>
      </c>
      <c r="L116" s="139"/>
      <c r="M116" s="133">
        <f>0/52</f>
        <v>0</v>
      </c>
      <c r="N116" s="134"/>
      <c r="O116" s="134"/>
      <c r="P116" s="27">
        <f>SUM(A116:O116)</f>
        <v>1</v>
      </c>
    </row>
    <row r="117" spans="1:16" s="13" customFormat="1" ht="22.5" customHeight="1" x14ac:dyDescent="0.3">
      <c r="A117" s="169" t="s">
        <v>160</v>
      </c>
      <c r="B117" s="170"/>
      <c r="C117" s="170"/>
      <c r="D117" s="170"/>
      <c r="E117" s="170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34"/>
    </row>
    <row r="118" spans="1:16" s="13" customFormat="1" ht="26.25" customHeight="1" x14ac:dyDescent="0.25">
      <c r="A118" s="164" t="s">
        <v>196</v>
      </c>
      <c r="B118" s="165"/>
      <c r="C118" s="163" t="s">
        <v>197</v>
      </c>
      <c r="D118" s="164"/>
      <c r="E118" s="165"/>
      <c r="F118" s="163" t="s">
        <v>198</v>
      </c>
      <c r="G118" s="165"/>
      <c r="H118" s="163" t="s">
        <v>199</v>
      </c>
      <c r="I118" s="164"/>
      <c r="J118" s="165"/>
      <c r="K118" s="166" t="s">
        <v>200</v>
      </c>
      <c r="L118" s="166"/>
      <c r="M118" s="163" t="s">
        <v>39</v>
      </c>
      <c r="N118" s="164"/>
      <c r="O118" s="164"/>
      <c r="P118" s="34"/>
    </row>
    <row r="119" spans="1:16" s="13" customFormat="1" ht="26.25" customHeight="1" x14ac:dyDescent="0.25">
      <c r="A119" s="134">
        <f>1/52</f>
        <v>1.9230769230769232E-2</v>
      </c>
      <c r="B119" s="139"/>
      <c r="C119" s="133">
        <f>2/52</f>
        <v>3.8461538461538464E-2</v>
      </c>
      <c r="D119" s="134"/>
      <c r="E119" s="139"/>
      <c r="F119" s="133">
        <f>11/52</f>
        <v>0.21153846153846154</v>
      </c>
      <c r="G119" s="139"/>
      <c r="H119" s="133">
        <f>8/52</f>
        <v>0.15384615384615385</v>
      </c>
      <c r="I119" s="134"/>
      <c r="J119" s="139"/>
      <c r="K119" s="133">
        <f>30/52</f>
        <v>0.57692307692307687</v>
      </c>
      <c r="L119" s="139"/>
      <c r="M119" s="133">
        <f>0/52</f>
        <v>0</v>
      </c>
      <c r="N119" s="134"/>
      <c r="O119" s="134"/>
      <c r="P119" s="27">
        <f>SUM(A119:O119)</f>
        <v>1</v>
      </c>
    </row>
    <row r="120" spans="1:16" s="13" customFormat="1" ht="39.75" customHeight="1" x14ac:dyDescent="0.3">
      <c r="A120" s="169" t="s">
        <v>161</v>
      </c>
      <c r="B120" s="170"/>
      <c r="C120" s="170"/>
      <c r="D120" s="170"/>
      <c r="E120" s="170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34"/>
    </row>
    <row r="121" spans="1:16" s="13" customFormat="1" ht="29.25" customHeight="1" x14ac:dyDescent="0.25">
      <c r="A121" s="164" t="s">
        <v>196</v>
      </c>
      <c r="B121" s="165"/>
      <c r="C121" s="163" t="s">
        <v>197</v>
      </c>
      <c r="D121" s="164"/>
      <c r="E121" s="165"/>
      <c r="F121" s="163" t="s">
        <v>198</v>
      </c>
      <c r="G121" s="165"/>
      <c r="H121" s="163" t="s">
        <v>199</v>
      </c>
      <c r="I121" s="164"/>
      <c r="J121" s="165"/>
      <c r="K121" s="166" t="s">
        <v>200</v>
      </c>
      <c r="L121" s="166"/>
      <c r="M121" s="163" t="s">
        <v>39</v>
      </c>
      <c r="N121" s="164"/>
      <c r="O121" s="164"/>
      <c r="P121" s="34"/>
    </row>
    <row r="122" spans="1:16" s="13" customFormat="1" ht="29.25" customHeight="1" x14ac:dyDescent="0.25">
      <c r="A122" s="134">
        <f>1/52</f>
        <v>1.9230769230769232E-2</v>
      </c>
      <c r="B122" s="139"/>
      <c r="C122" s="133">
        <f>0/52</f>
        <v>0</v>
      </c>
      <c r="D122" s="134"/>
      <c r="E122" s="139"/>
      <c r="F122" s="133">
        <f>7/52</f>
        <v>0.13461538461538461</v>
      </c>
      <c r="G122" s="139"/>
      <c r="H122" s="133">
        <f>3/52</f>
        <v>5.7692307692307696E-2</v>
      </c>
      <c r="I122" s="134"/>
      <c r="J122" s="139"/>
      <c r="K122" s="133">
        <f>18/52</f>
        <v>0.34615384615384615</v>
      </c>
      <c r="L122" s="139"/>
      <c r="M122" s="133">
        <f>23/52</f>
        <v>0.44230769230769229</v>
      </c>
      <c r="N122" s="134"/>
      <c r="O122" s="134"/>
      <c r="P122" s="27">
        <f>SUM(A122:O122)</f>
        <v>1</v>
      </c>
    </row>
    <row r="123" spans="1:16" s="13" customFormat="1" ht="30" customHeight="1" x14ac:dyDescent="0.25">
      <c r="A123" s="175" t="s">
        <v>220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34"/>
    </row>
    <row r="124" spans="1:16" s="13" customFormat="1" ht="26.25" customHeight="1" x14ac:dyDescent="0.3">
      <c r="A124" s="65" t="s">
        <v>155</v>
      </c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34"/>
    </row>
    <row r="125" spans="1:16" s="13" customFormat="1" ht="25.5" customHeight="1" x14ac:dyDescent="0.25">
      <c r="A125" s="164" t="s">
        <v>196</v>
      </c>
      <c r="B125" s="165"/>
      <c r="C125" s="163" t="s">
        <v>197</v>
      </c>
      <c r="D125" s="164"/>
      <c r="E125" s="165"/>
      <c r="F125" s="163" t="s">
        <v>198</v>
      </c>
      <c r="G125" s="165"/>
      <c r="H125" s="163" t="s">
        <v>199</v>
      </c>
      <c r="I125" s="164"/>
      <c r="J125" s="165"/>
      <c r="K125" s="166" t="s">
        <v>200</v>
      </c>
      <c r="L125" s="166"/>
      <c r="M125" s="163" t="s">
        <v>39</v>
      </c>
      <c r="N125" s="164"/>
      <c r="O125" s="164"/>
      <c r="P125" s="34"/>
    </row>
    <row r="126" spans="1:16" s="13" customFormat="1" ht="25.5" customHeight="1" x14ac:dyDescent="0.25">
      <c r="A126" s="134">
        <f>2/52</f>
        <v>3.8461538461538464E-2</v>
      </c>
      <c r="B126" s="139"/>
      <c r="C126" s="133">
        <f>1/52</f>
        <v>1.9230769230769232E-2</v>
      </c>
      <c r="D126" s="134"/>
      <c r="E126" s="139"/>
      <c r="F126" s="133">
        <f>7/52</f>
        <v>0.13461538461538461</v>
      </c>
      <c r="G126" s="139"/>
      <c r="H126" s="133">
        <f>12/52</f>
        <v>0.23076923076923078</v>
      </c>
      <c r="I126" s="134"/>
      <c r="J126" s="139"/>
      <c r="K126" s="133">
        <f>30/52</f>
        <v>0.57692307692307687</v>
      </c>
      <c r="L126" s="139"/>
      <c r="M126" s="133">
        <f>0/52</f>
        <v>0</v>
      </c>
      <c r="N126" s="134"/>
      <c r="O126" s="134"/>
      <c r="P126" s="27">
        <f>SUM(A126:O126)</f>
        <v>1</v>
      </c>
    </row>
    <row r="127" spans="1:16" s="13" customFormat="1" ht="39.75" customHeight="1" x14ac:dyDescent="0.3">
      <c r="A127" s="68" t="s">
        <v>156</v>
      </c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34"/>
    </row>
    <row r="128" spans="1:16" s="13" customFormat="1" ht="30.75" customHeight="1" x14ac:dyDescent="0.25">
      <c r="A128" s="164" t="s">
        <v>196</v>
      </c>
      <c r="B128" s="165"/>
      <c r="C128" s="163" t="s">
        <v>197</v>
      </c>
      <c r="D128" s="164"/>
      <c r="E128" s="165"/>
      <c r="F128" s="163" t="s">
        <v>198</v>
      </c>
      <c r="G128" s="165"/>
      <c r="H128" s="163" t="s">
        <v>199</v>
      </c>
      <c r="I128" s="164"/>
      <c r="J128" s="165"/>
      <c r="K128" s="166" t="s">
        <v>200</v>
      </c>
      <c r="L128" s="166"/>
      <c r="M128" s="163" t="s">
        <v>39</v>
      </c>
      <c r="N128" s="164"/>
      <c r="O128" s="164"/>
      <c r="P128" s="34"/>
    </row>
    <row r="129" spans="1:16" s="13" customFormat="1" ht="30.75" customHeight="1" x14ac:dyDescent="0.25">
      <c r="A129" s="134">
        <f>0/52</f>
        <v>0</v>
      </c>
      <c r="B129" s="139"/>
      <c r="C129" s="133">
        <f>1/52</f>
        <v>1.9230769230769232E-2</v>
      </c>
      <c r="D129" s="134"/>
      <c r="E129" s="139"/>
      <c r="F129" s="133">
        <f>7/52</f>
        <v>0.13461538461538461</v>
      </c>
      <c r="G129" s="139"/>
      <c r="H129" s="133">
        <f>12/52</f>
        <v>0.23076923076923078</v>
      </c>
      <c r="I129" s="134"/>
      <c r="J129" s="139"/>
      <c r="K129" s="133">
        <f>32/52</f>
        <v>0.61538461538461542</v>
      </c>
      <c r="L129" s="139"/>
      <c r="M129" s="133">
        <f>0/52</f>
        <v>0</v>
      </c>
      <c r="N129" s="134"/>
      <c r="O129" s="134"/>
      <c r="P129" s="27">
        <f>SUM(A129:O129)</f>
        <v>1</v>
      </c>
    </row>
    <row r="130" spans="1:16" s="13" customFormat="1" ht="39.75" customHeight="1" x14ac:dyDescent="0.3">
      <c r="A130" s="68" t="s">
        <v>157</v>
      </c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34"/>
    </row>
    <row r="131" spans="1:16" s="13" customFormat="1" ht="24" customHeight="1" x14ac:dyDescent="0.25">
      <c r="A131" s="164" t="s">
        <v>196</v>
      </c>
      <c r="B131" s="165"/>
      <c r="C131" s="163" t="s">
        <v>197</v>
      </c>
      <c r="D131" s="164"/>
      <c r="E131" s="165"/>
      <c r="F131" s="163" t="s">
        <v>198</v>
      </c>
      <c r="G131" s="165"/>
      <c r="H131" s="163" t="s">
        <v>199</v>
      </c>
      <c r="I131" s="164"/>
      <c r="J131" s="165"/>
      <c r="K131" s="166" t="s">
        <v>200</v>
      </c>
      <c r="L131" s="166"/>
      <c r="M131" s="163" t="s">
        <v>39</v>
      </c>
      <c r="N131" s="164"/>
      <c r="O131" s="164"/>
      <c r="P131" s="34"/>
    </row>
    <row r="132" spans="1:16" s="13" customFormat="1" ht="24" customHeight="1" x14ac:dyDescent="0.25">
      <c r="A132" s="134">
        <f>1/52</f>
        <v>1.9230769230769232E-2</v>
      </c>
      <c r="B132" s="139"/>
      <c r="C132" s="133">
        <f>0/52</f>
        <v>0</v>
      </c>
      <c r="D132" s="134"/>
      <c r="E132" s="139"/>
      <c r="F132" s="133">
        <f>7/52</f>
        <v>0.13461538461538461</v>
      </c>
      <c r="G132" s="139"/>
      <c r="H132" s="133">
        <f>12/52</f>
        <v>0.23076923076923078</v>
      </c>
      <c r="I132" s="134"/>
      <c r="J132" s="139"/>
      <c r="K132" s="133">
        <f>32/52</f>
        <v>0.61538461538461542</v>
      </c>
      <c r="L132" s="139"/>
      <c r="M132" s="133">
        <f>0/52</f>
        <v>0</v>
      </c>
      <c r="N132" s="134"/>
      <c r="O132" s="134"/>
      <c r="P132" s="27">
        <f>SUM(A132:O132)</f>
        <v>1</v>
      </c>
    </row>
    <row r="133" spans="1:16" s="13" customFormat="1" ht="39.75" customHeight="1" x14ac:dyDescent="0.3">
      <c r="A133" s="169" t="s">
        <v>158</v>
      </c>
      <c r="B133" s="170"/>
      <c r="C133" s="170"/>
      <c r="D133" s="170"/>
      <c r="E133" s="170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34"/>
    </row>
    <row r="134" spans="1:16" s="13" customFormat="1" ht="29.25" customHeight="1" x14ac:dyDescent="0.25">
      <c r="A134" s="164" t="s">
        <v>196</v>
      </c>
      <c r="B134" s="165"/>
      <c r="C134" s="163" t="s">
        <v>197</v>
      </c>
      <c r="D134" s="164"/>
      <c r="E134" s="165"/>
      <c r="F134" s="163" t="s">
        <v>198</v>
      </c>
      <c r="G134" s="165"/>
      <c r="H134" s="163" t="s">
        <v>199</v>
      </c>
      <c r="I134" s="164"/>
      <c r="J134" s="165"/>
      <c r="K134" s="166" t="s">
        <v>200</v>
      </c>
      <c r="L134" s="166"/>
      <c r="M134" s="163" t="s">
        <v>39</v>
      </c>
      <c r="N134" s="164"/>
      <c r="O134" s="164"/>
      <c r="P134" s="34"/>
    </row>
    <row r="135" spans="1:16" s="13" customFormat="1" ht="29.25" customHeight="1" x14ac:dyDescent="0.25">
      <c r="A135" s="134">
        <f>0/52</f>
        <v>0</v>
      </c>
      <c r="B135" s="139"/>
      <c r="C135" s="133">
        <f>1/52</f>
        <v>1.9230769230769232E-2</v>
      </c>
      <c r="D135" s="134"/>
      <c r="E135" s="139"/>
      <c r="F135" s="133">
        <f>8/52</f>
        <v>0.15384615384615385</v>
      </c>
      <c r="G135" s="139"/>
      <c r="H135" s="133">
        <f>11/52</f>
        <v>0.21153846153846154</v>
      </c>
      <c r="I135" s="134"/>
      <c r="J135" s="139"/>
      <c r="K135" s="133">
        <f>32/52</f>
        <v>0.61538461538461542</v>
      </c>
      <c r="L135" s="139"/>
      <c r="M135" s="133">
        <f>0/52</f>
        <v>0</v>
      </c>
      <c r="N135" s="134"/>
      <c r="O135" s="134"/>
      <c r="P135" s="27">
        <f>SUM(A135:O135)</f>
        <v>1</v>
      </c>
    </row>
    <row r="136" spans="1:16" s="13" customFormat="1" ht="39.75" customHeight="1" x14ac:dyDescent="0.3">
      <c r="A136" s="169" t="s">
        <v>159</v>
      </c>
      <c r="B136" s="170"/>
      <c r="C136" s="170"/>
      <c r="D136" s="170"/>
      <c r="E136" s="170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34"/>
    </row>
    <row r="137" spans="1:16" s="13" customFormat="1" ht="25.5" customHeight="1" x14ac:dyDescent="0.25">
      <c r="A137" s="164" t="s">
        <v>196</v>
      </c>
      <c r="B137" s="165"/>
      <c r="C137" s="163" t="s">
        <v>197</v>
      </c>
      <c r="D137" s="164"/>
      <c r="E137" s="165"/>
      <c r="F137" s="163" t="s">
        <v>198</v>
      </c>
      <c r="G137" s="165"/>
      <c r="H137" s="163" t="s">
        <v>199</v>
      </c>
      <c r="I137" s="164"/>
      <c r="J137" s="165"/>
      <c r="K137" s="166" t="s">
        <v>200</v>
      </c>
      <c r="L137" s="166"/>
      <c r="M137" s="163" t="s">
        <v>39</v>
      </c>
      <c r="N137" s="164"/>
      <c r="O137" s="164"/>
      <c r="P137" s="34"/>
    </row>
    <row r="138" spans="1:16" s="13" customFormat="1" ht="25.5" customHeight="1" x14ac:dyDescent="0.25">
      <c r="A138" s="134">
        <f>1/52</f>
        <v>1.9230769230769232E-2</v>
      </c>
      <c r="B138" s="139"/>
      <c r="C138" s="133">
        <f>1/52</f>
        <v>1.9230769230769232E-2</v>
      </c>
      <c r="D138" s="134"/>
      <c r="E138" s="139"/>
      <c r="F138" s="133">
        <f>7/52</f>
        <v>0.13461538461538461</v>
      </c>
      <c r="G138" s="139"/>
      <c r="H138" s="133">
        <f>11/52</f>
        <v>0.21153846153846154</v>
      </c>
      <c r="I138" s="134"/>
      <c r="J138" s="139"/>
      <c r="K138" s="133">
        <f>32/52</f>
        <v>0.61538461538461542</v>
      </c>
      <c r="L138" s="139"/>
      <c r="M138" s="133">
        <f>0/52</f>
        <v>0</v>
      </c>
      <c r="N138" s="134"/>
      <c r="O138" s="134"/>
      <c r="P138" s="27">
        <f>SUM(A138:O138)</f>
        <v>1</v>
      </c>
    </row>
    <row r="139" spans="1:16" s="13" customFormat="1" ht="39.75" customHeight="1" x14ac:dyDescent="0.3">
      <c r="A139" s="169" t="s">
        <v>160</v>
      </c>
      <c r="B139" s="170"/>
      <c r="C139" s="170"/>
      <c r="D139" s="170"/>
      <c r="E139" s="170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34"/>
    </row>
    <row r="140" spans="1:16" s="13" customFormat="1" ht="24.75" customHeight="1" x14ac:dyDescent="0.25">
      <c r="A140" s="164" t="s">
        <v>196</v>
      </c>
      <c r="B140" s="165"/>
      <c r="C140" s="163" t="s">
        <v>197</v>
      </c>
      <c r="D140" s="164"/>
      <c r="E140" s="165"/>
      <c r="F140" s="163" t="s">
        <v>198</v>
      </c>
      <c r="G140" s="165"/>
      <c r="H140" s="163" t="s">
        <v>199</v>
      </c>
      <c r="I140" s="164"/>
      <c r="J140" s="165"/>
      <c r="K140" s="166" t="s">
        <v>200</v>
      </c>
      <c r="L140" s="166"/>
      <c r="M140" s="163" t="s">
        <v>39</v>
      </c>
      <c r="N140" s="164"/>
      <c r="O140" s="164"/>
      <c r="P140" s="34"/>
    </row>
    <row r="141" spans="1:16" s="13" customFormat="1" ht="24.75" customHeight="1" x14ac:dyDescent="0.25">
      <c r="A141" s="134">
        <f>1/52</f>
        <v>1.9230769230769232E-2</v>
      </c>
      <c r="B141" s="139"/>
      <c r="C141" s="133">
        <f>2/52</f>
        <v>3.8461538461538464E-2</v>
      </c>
      <c r="D141" s="134"/>
      <c r="E141" s="139"/>
      <c r="F141" s="133">
        <f>7/52</f>
        <v>0.13461538461538461</v>
      </c>
      <c r="G141" s="139"/>
      <c r="H141" s="133">
        <f>12/52</f>
        <v>0.23076923076923078</v>
      </c>
      <c r="I141" s="134"/>
      <c r="J141" s="139"/>
      <c r="K141" s="133">
        <f>30/52</f>
        <v>0.57692307692307687</v>
      </c>
      <c r="L141" s="139"/>
      <c r="M141" s="133">
        <f>0/52</f>
        <v>0</v>
      </c>
      <c r="N141" s="134"/>
      <c r="O141" s="134"/>
      <c r="P141" s="27">
        <f>SUM(A141:O141)</f>
        <v>1</v>
      </c>
    </row>
    <row r="142" spans="1:16" s="13" customFormat="1" ht="28.5" customHeight="1" x14ac:dyDescent="0.3">
      <c r="A142" s="169" t="s">
        <v>161</v>
      </c>
      <c r="B142" s="170"/>
      <c r="C142" s="170"/>
      <c r="D142" s="170"/>
      <c r="E142" s="170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34"/>
    </row>
    <row r="143" spans="1:16" s="13" customFormat="1" ht="28.5" customHeight="1" x14ac:dyDescent="0.25">
      <c r="A143" s="164" t="s">
        <v>196</v>
      </c>
      <c r="B143" s="165"/>
      <c r="C143" s="163" t="s">
        <v>197</v>
      </c>
      <c r="D143" s="164"/>
      <c r="E143" s="165"/>
      <c r="F143" s="163" t="s">
        <v>198</v>
      </c>
      <c r="G143" s="165"/>
      <c r="H143" s="163" t="s">
        <v>199</v>
      </c>
      <c r="I143" s="164"/>
      <c r="J143" s="165"/>
      <c r="K143" s="166" t="s">
        <v>200</v>
      </c>
      <c r="L143" s="166"/>
      <c r="M143" s="163" t="s">
        <v>39</v>
      </c>
      <c r="N143" s="164"/>
      <c r="O143" s="164"/>
      <c r="P143" s="34"/>
    </row>
    <row r="144" spans="1:16" s="13" customFormat="1" ht="28.5" customHeight="1" x14ac:dyDescent="0.25">
      <c r="A144" s="134">
        <f>1/52</f>
        <v>1.9230769230769232E-2</v>
      </c>
      <c r="B144" s="139"/>
      <c r="C144" s="133">
        <f>0/52</f>
        <v>0</v>
      </c>
      <c r="D144" s="134"/>
      <c r="E144" s="139"/>
      <c r="F144" s="133">
        <f>5/52</f>
        <v>9.6153846153846159E-2</v>
      </c>
      <c r="G144" s="139"/>
      <c r="H144" s="133">
        <f>8/52</f>
        <v>0.15384615384615385</v>
      </c>
      <c r="I144" s="134"/>
      <c r="J144" s="139"/>
      <c r="K144" s="133">
        <f>15/52</f>
        <v>0.28846153846153844</v>
      </c>
      <c r="L144" s="139"/>
      <c r="M144" s="133">
        <f>23/52</f>
        <v>0.44230769230769229</v>
      </c>
      <c r="N144" s="134"/>
      <c r="O144" s="134"/>
      <c r="P144" s="27">
        <f>SUM(A144:O144)</f>
        <v>1</v>
      </c>
    </row>
    <row r="145" spans="1:16" s="1" customFormat="1" ht="26.25" customHeight="1" x14ac:dyDescent="0.25">
      <c r="A145" s="175" t="s">
        <v>162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21"/>
    </row>
    <row r="146" spans="1:16" s="13" customFormat="1" ht="20.100000000000001" customHeight="1" x14ac:dyDescent="0.25">
      <c r="A146" s="168" t="s">
        <v>163</v>
      </c>
      <c r="B146" s="168"/>
      <c r="C146" s="168"/>
      <c r="D146" s="168"/>
      <c r="E146" s="168"/>
      <c r="F146" s="168"/>
      <c r="G146" s="168"/>
      <c r="H146" s="69"/>
      <c r="I146" s="69"/>
      <c r="J146" s="69"/>
      <c r="K146" s="69"/>
      <c r="L146" s="69"/>
      <c r="M146" s="71"/>
      <c r="N146" s="71"/>
      <c r="O146" s="71"/>
      <c r="P146" s="39"/>
    </row>
    <row r="147" spans="1:16" s="13" customFormat="1" ht="20.100000000000001" customHeight="1" x14ac:dyDescent="0.25">
      <c r="A147" s="164" t="s">
        <v>196</v>
      </c>
      <c r="B147" s="165"/>
      <c r="C147" s="163" t="s">
        <v>197</v>
      </c>
      <c r="D147" s="164"/>
      <c r="E147" s="165"/>
      <c r="F147" s="163" t="s">
        <v>198</v>
      </c>
      <c r="G147" s="165"/>
      <c r="H147" s="163" t="s">
        <v>199</v>
      </c>
      <c r="I147" s="164"/>
      <c r="J147" s="165"/>
      <c r="K147" s="163" t="s">
        <v>200</v>
      </c>
      <c r="L147" s="165"/>
      <c r="M147" s="163" t="s">
        <v>39</v>
      </c>
      <c r="N147" s="164"/>
      <c r="O147" s="164"/>
      <c r="P147" s="39"/>
    </row>
    <row r="148" spans="1:16" s="13" customFormat="1" ht="20.100000000000001" customHeight="1" x14ac:dyDescent="0.25">
      <c r="A148" s="134">
        <f>3/52</f>
        <v>5.7692307692307696E-2</v>
      </c>
      <c r="B148" s="139"/>
      <c r="C148" s="133">
        <f>5/52</f>
        <v>9.6153846153846159E-2</v>
      </c>
      <c r="D148" s="134"/>
      <c r="E148" s="139"/>
      <c r="F148" s="133">
        <f>6/52</f>
        <v>0.11538461538461539</v>
      </c>
      <c r="G148" s="139"/>
      <c r="H148" s="133">
        <f>15/52</f>
        <v>0.28846153846153844</v>
      </c>
      <c r="I148" s="134"/>
      <c r="J148" s="139"/>
      <c r="K148" s="133">
        <f>23/52</f>
        <v>0.44230769230769229</v>
      </c>
      <c r="L148" s="139"/>
      <c r="M148" s="133">
        <f>0/52</f>
        <v>0</v>
      </c>
      <c r="N148" s="134"/>
      <c r="O148" s="134"/>
      <c r="P148" s="74">
        <f>SUM(A148:O148)</f>
        <v>1</v>
      </c>
    </row>
    <row r="149" spans="1:16" s="13" customFormat="1" ht="20.100000000000001" customHeight="1" x14ac:dyDescent="0.25">
      <c r="A149" s="167" t="s">
        <v>164</v>
      </c>
      <c r="B149" s="168"/>
      <c r="C149" s="168"/>
      <c r="D149" s="168"/>
      <c r="E149" s="168"/>
      <c r="F149" s="69"/>
      <c r="G149" s="69"/>
      <c r="H149" s="69"/>
      <c r="I149" s="69"/>
      <c r="J149" s="69"/>
      <c r="K149" s="69"/>
      <c r="L149" s="69"/>
      <c r="M149" s="71"/>
      <c r="N149" s="71"/>
      <c r="O149" s="71"/>
      <c r="P149" s="39"/>
    </row>
    <row r="150" spans="1:16" s="13" customFormat="1" ht="20.100000000000001" customHeight="1" x14ac:dyDescent="0.25">
      <c r="A150" s="164" t="s">
        <v>196</v>
      </c>
      <c r="B150" s="165"/>
      <c r="C150" s="163" t="s">
        <v>197</v>
      </c>
      <c r="D150" s="164"/>
      <c r="E150" s="165"/>
      <c r="F150" s="163" t="s">
        <v>198</v>
      </c>
      <c r="G150" s="165"/>
      <c r="H150" s="163" t="s">
        <v>199</v>
      </c>
      <c r="I150" s="164"/>
      <c r="J150" s="165"/>
      <c r="K150" s="163" t="s">
        <v>200</v>
      </c>
      <c r="L150" s="165"/>
      <c r="M150" s="163" t="s">
        <v>39</v>
      </c>
      <c r="N150" s="164"/>
      <c r="O150" s="164"/>
      <c r="P150" s="39"/>
    </row>
    <row r="151" spans="1:16" s="13" customFormat="1" ht="20.100000000000001" customHeight="1" x14ac:dyDescent="0.25">
      <c r="A151" s="134">
        <f>0/52</f>
        <v>0</v>
      </c>
      <c r="B151" s="139"/>
      <c r="C151" s="133">
        <f>7/52</f>
        <v>0.13461538461538461</v>
      </c>
      <c r="D151" s="134"/>
      <c r="E151" s="139"/>
      <c r="F151" s="133">
        <f>9/52</f>
        <v>0.17307692307692307</v>
      </c>
      <c r="G151" s="139"/>
      <c r="H151" s="133">
        <f>13/52</f>
        <v>0.25</v>
      </c>
      <c r="I151" s="134"/>
      <c r="J151" s="139"/>
      <c r="K151" s="133">
        <f>23/52</f>
        <v>0.44230769230769229</v>
      </c>
      <c r="L151" s="139"/>
      <c r="M151" s="133">
        <f>0/52</f>
        <v>0</v>
      </c>
      <c r="N151" s="134"/>
      <c r="O151" s="134"/>
      <c r="P151" s="74">
        <f>SUM(A151:O151)</f>
        <v>1</v>
      </c>
    </row>
    <row r="152" spans="1:16" s="13" customFormat="1" ht="20.100000000000001" customHeight="1" x14ac:dyDescent="0.25">
      <c r="A152" s="167" t="s">
        <v>165</v>
      </c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71"/>
      <c r="N152" s="71"/>
      <c r="O152" s="71"/>
      <c r="P152" s="39"/>
    </row>
    <row r="153" spans="1:16" s="13" customFormat="1" ht="20.100000000000001" customHeight="1" x14ac:dyDescent="0.25">
      <c r="A153" s="164" t="s">
        <v>196</v>
      </c>
      <c r="B153" s="165"/>
      <c r="C153" s="163" t="s">
        <v>197</v>
      </c>
      <c r="D153" s="164"/>
      <c r="E153" s="165"/>
      <c r="F153" s="163" t="s">
        <v>198</v>
      </c>
      <c r="G153" s="165"/>
      <c r="H153" s="163" t="s">
        <v>199</v>
      </c>
      <c r="I153" s="164"/>
      <c r="J153" s="165"/>
      <c r="K153" s="166" t="s">
        <v>200</v>
      </c>
      <c r="L153" s="166"/>
      <c r="M153" s="163" t="s">
        <v>39</v>
      </c>
      <c r="N153" s="164"/>
      <c r="O153" s="164"/>
      <c r="P153" s="39"/>
    </row>
    <row r="154" spans="1:16" s="13" customFormat="1" ht="20.100000000000001" customHeight="1" x14ac:dyDescent="0.25">
      <c r="A154" s="134">
        <f>0/52</f>
        <v>0</v>
      </c>
      <c r="B154" s="139"/>
      <c r="C154" s="133">
        <f>6/52</f>
        <v>0.11538461538461539</v>
      </c>
      <c r="D154" s="134"/>
      <c r="E154" s="139"/>
      <c r="F154" s="133">
        <f>4/52</f>
        <v>7.6923076923076927E-2</v>
      </c>
      <c r="G154" s="139"/>
      <c r="H154" s="133">
        <f>10/52</f>
        <v>0.19230769230769232</v>
      </c>
      <c r="I154" s="134"/>
      <c r="J154" s="139"/>
      <c r="K154" s="133">
        <f>32/52</f>
        <v>0.61538461538461542</v>
      </c>
      <c r="L154" s="139"/>
      <c r="M154" s="133">
        <f>0/52</f>
        <v>0</v>
      </c>
      <c r="N154" s="134"/>
      <c r="O154" s="134"/>
      <c r="P154" s="74">
        <f>SUM(A154:O154)</f>
        <v>1</v>
      </c>
    </row>
    <row r="155" spans="1:16" s="13" customFormat="1" ht="20.100000000000001" customHeight="1" x14ac:dyDescent="0.25">
      <c r="A155" s="167" t="s">
        <v>166</v>
      </c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71"/>
      <c r="N155" s="71"/>
      <c r="O155" s="71"/>
      <c r="P155" s="39"/>
    </row>
    <row r="156" spans="1:16" s="70" customFormat="1" ht="20.100000000000001" customHeight="1" x14ac:dyDescent="0.25">
      <c r="A156" s="164" t="s">
        <v>196</v>
      </c>
      <c r="B156" s="165"/>
      <c r="C156" s="163" t="s">
        <v>197</v>
      </c>
      <c r="D156" s="164"/>
      <c r="E156" s="165"/>
      <c r="F156" s="163" t="s">
        <v>198</v>
      </c>
      <c r="G156" s="165"/>
      <c r="H156" s="163" t="s">
        <v>199</v>
      </c>
      <c r="I156" s="164"/>
      <c r="J156" s="165"/>
      <c r="K156" s="166" t="s">
        <v>200</v>
      </c>
      <c r="L156" s="166"/>
      <c r="M156" s="163" t="s">
        <v>39</v>
      </c>
      <c r="N156" s="164"/>
      <c r="O156" s="164"/>
      <c r="P156" s="39"/>
    </row>
    <row r="157" spans="1:16" s="70" customFormat="1" ht="20.100000000000001" customHeight="1" x14ac:dyDescent="0.25">
      <c r="A157" s="134">
        <f>0/52</f>
        <v>0</v>
      </c>
      <c r="B157" s="139"/>
      <c r="C157" s="133">
        <f>5/52</f>
        <v>9.6153846153846159E-2</v>
      </c>
      <c r="D157" s="134"/>
      <c r="E157" s="139"/>
      <c r="F157" s="133">
        <f>7/52</f>
        <v>0.13461538461538461</v>
      </c>
      <c r="G157" s="139"/>
      <c r="H157" s="133">
        <f>9/52</f>
        <v>0.17307692307692307</v>
      </c>
      <c r="I157" s="134"/>
      <c r="J157" s="139"/>
      <c r="K157" s="133">
        <f>31/52</f>
        <v>0.59615384615384615</v>
      </c>
      <c r="L157" s="139"/>
      <c r="M157" s="133">
        <f>0/52</f>
        <v>0</v>
      </c>
      <c r="N157" s="134"/>
      <c r="O157" s="134"/>
      <c r="P157" s="74">
        <f>SUM(A157:O157)</f>
        <v>1</v>
      </c>
    </row>
    <row r="158" spans="1:16" s="70" customFormat="1" ht="20.100000000000001" customHeight="1" x14ac:dyDescent="0.25">
      <c r="A158" s="167" t="s">
        <v>167</v>
      </c>
      <c r="B158" s="168"/>
      <c r="C158" s="168"/>
      <c r="D158" s="168"/>
      <c r="E158" s="168"/>
      <c r="F158" s="168"/>
      <c r="G158" s="168"/>
      <c r="H158" s="168"/>
      <c r="I158" s="168"/>
      <c r="J158" s="168"/>
      <c r="K158" s="69"/>
      <c r="L158" s="69"/>
      <c r="M158" s="71"/>
      <c r="N158" s="71"/>
      <c r="O158" s="71"/>
      <c r="P158" s="39"/>
    </row>
    <row r="159" spans="1:16" s="70" customFormat="1" ht="20.100000000000001" customHeight="1" x14ac:dyDescent="0.25">
      <c r="A159" s="164" t="s">
        <v>196</v>
      </c>
      <c r="B159" s="165"/>
      <c r="C159" s="163" t="s">
        <v>197</v>
      </c>
      <c r="D159" s="164"/>
      <c r="E159" s="165"/>
      <c r="F159" s="163" t="s">
        <v>198</v>
      </c>
      <c r="G159" s="165"/>
      <c r="H159" s="163" t="s">
        <v>199</v>
      </c>
      <c r="I159" s="164"/>
      <c r="J159" s="165"/>
      <c r="K159" s="166" t="s">
        <v>200</v>
      </c>
      <c r="L159" s="166"/>
      <c r="M159" s="163" t="s">
        <v>39</v>
      </c>
      <c r="N159" s="164"/>
      <c r="O159" s="164"/>
      <c r="P159" s="39"/>
    </row>
    <row r="160" spans="1:16" s="70" customFormat="1" ht="20.100000000000001" customHeight="1" x14ac:dyDescent="0.25">
      <c r="A160" s="134">
        <f>2/52</f>
        <v>3.8461538461538464E-2</v>
      </c>
      <c r="B160" s="139"/>
      <c r="C160" s="133">
        <f>3/52</f>
        <v>5.7692307692307696E-2</v>
      </c>
      <c r="D160" s="134"/>
      <c r="E160" s="139"/>
      <c r="F160" s="133">
        <f>6/52</f>
        <v>0.11538461538461539</v>
      </c>
      <c r="G160" s="139"/>
      <c r="H160" s="133">
        <f>12/52</f>
        <v>0.23076923076923078</v>
      </c>
      <c r="I160" s="134"/>
      <c r="J160" s="139"/>
      <c r="K160" s="133">
        <f>29/52</f>
        <v>0.55769230769230771</v>
      </c>
      <c r="L160" s="139"/>
      <c r="M160" s="133">
        <f>0/52</f>
        <v>0</v>
      </c>
      <c r="N160" s="134"/>
      <c r="O160" s="134"/>
      <c r="P160" s="74">
        <f>SUM(A160:O160)</f>
        <v>1</v>
      </c>
    </row>
    <row r="161" spans="1:16" s="70" customFormat="1" ht="20.100000000000001" customHeight="1" x14ac:dyDescent="0.25">
      <c r="A161" s="167" t="s">
        <v>168</v>
      </c>
      <c r="B161" s="168"/>
      <c r="C161" s="168"/>
      <c r="D161" s="168"/>
      <c r="E161" s="168"/>
      <c r="F161" s="168"/>
      <c r="G161" s="168"/>
      <c r="H161" s="168"/>
      <c r="I161" s="168"/>
      <c r="J161" s="168"/>
      <c r="K161" s="69"/>
      <c r="L161" s="69"/>
      <c r="M161" s="71"/>
      <c r="N161" s="71"/>
      <c r="O161" s="71"/>
      <c r="P161" s="39"/>
    </row>
    <row r="162" spans="1:16" s="70" customFormat="1" ht="20.100000000000001" customHeight="1" x14ac:dyDescent="0.25">
      <c r="A162" s="164" t="s">
        <v>196</v>
      </c>
      <c r="B162" s="165"/>
      <c r="C162" s="163" t="s">
        <v>197</v>
      </c>
      <c r="D162" s="164"/>
      <c r="E162" s="165"/>
      <c r="F162" s="163" t="s">
        <v>198</v>
      </c>
      <c r="G162" s="165"/>
      <c r="H162" s="163" t="s">
        <v>199</v>
      </c>
      <c r="I162" s="164"/>
      <c r="J162" s="165"/>
      <c r="K162" s="166" t="s">
        <v>200</v>
      </c>
      <c r="L162" s="166"/>
      <c r="M162" s="163" t="s">
        <v>39</v>
      </c>
      <c r="N162" s="164"/>
      <c r="O162" s="164"/>
      <c r="P162" s="39"/>
    </row>
    <row r="163" spans="1:16" s="70" customFormat="1" ht="20.100000000000001" customHeight="1" x14ac:dyDescent="0.25">
      <c r="A163" s="134">
        <f>0/52</f>
        <v>0</v>
      </c>
      <c r="B163" s="139"/>
      <c r="C163" s="133">
        <f>2/52</f>
        <v>3.8461538461538464E-2</v>
      </c>
      <c r="D163" s="134"/>
      <c r="E163" s="139"/>
      <c r="F163" s="133">
        <f>7/52</f>
        <v>0.13461538461538461</v>
      </c>
      <c r="G163" s="139"/>
      <c r="H163" s="133">
        <f>10/52</f>
        <v>0.19230769230769232</v>
      </c>
      <c r="I163" s="134"/>
      <c r="J163" s="139"/>
      <c r="K163" s="133">
        <f>33/52</f>
        <v>0.63461538461538458</v>
      </c>
      <c r="L163" s="139"/>
      <c r="M163" s="133">
        <f>0/52</f>
        <v>0</v>
      </c>
      <c r="N163" s="134"/>
      <c r="O163" s="134"/>
      <c r="P163" s="74">
        <f>SUM(A163:O163)</f>
        <v>1</v>
      </c>
    </row>
    <row r="164" spans="1:16" s="1" customFormat="1" x14ac:dyDescent="0.25">
      <c r="A164" s="175" t="s">
        <v>169</v>
      </c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21"/>
    </row>
    <row r="165" spans="1:16" s="13" customFormat="1" ht="26.25" customHeight="1" x14ac:dyDescent="0.25">
      <c r="A165" s="172" t="s">
        <v>52</v>
      </c>
      <c r="B165" s="131"/>
      <c r="C165" s="131"/>
      <c r="D165" s="131"/>
      <c r="E165" s="131"/>
      <c r="F165" s="131" t="s">
        <v>51</v>
      </c>
      <c r="G165" s="131"/>
      <c r="H165" s="131"/>
      <c r="I165" s="131"/>
      <c r="J165" s="131"/>
      <c r="K165" s="131" t="s">
        <v>0</v>
      </c>
      <c r="L165" s="131"/>
      <c r="M165" s="131"/>
      <c r="N165" s="131"/>
      <c r="O165" s="132"/>
      <c r="P165" s="34"/>
    </row>
    <row r="166" spans="1:16" s="13" customFormat="1" ht="36.75" customHeight="1" x14ac:dyDescent="0.25">
      <c r="A166" s="139">
        <f>38/52</f>
        <v>0.73076923076923073</v>
      </c>
      <c r="B166" s="130"/>
      <c r="C166" s="130"/>
      <c r="D166" s="130"/>
      <c r="E166" s="130"/>
      <c r="F166" s="130">
        <f>14/52</f>
        <v>0.26923076923076922</v>
      </c>
      <c r="G166" s="130"/>
      <c r="H166" s="130"/>
      <c r="I166" s="130"/>
      <c r="J166" s="130"/>
      <c r="K166" s="130">
        <f>0/52</f>
        <v>0</v>
      </c>
      <c r="L166" s="130"/>
      <c r="M166" s="130"/>
      <c r="N166" s="130"/>
      <c r="O166" s="133"/>
      <c r="P166" s="27">
        <f>SUM(A166:O166)</f>
        <v>1</v>
      </c>
    </row>
    <row r="167" spans="1:16" s="1" customFormat="1" x14ac:dyDescent="0.25">
      <c r="A167" s="175" t="s">
        <v>170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21"/>
    </row>
    <row r="168" spans="1:16" s="13" customFormat="1" ht="30.75" customHeight="1" x14ac:dyDescent="0.25">
      <c r="A168" s="172" t="s">
        <v>52</v>
      </c>
      <c r="B168" s="131"/>
      <c r="C168" s="131"/>
      <c r="D168" s="131"/>
      <c r="E168" s="131"/>
      <c r="F168" s="131" t="s">
        <v>51</v>
      </c>
      <c r="G168" s="131"/>
      <c r="H168" s="131"/>
      <c r="I168" s="131"/>
      <c r="J168" s="131"/>
      <c r="K168" s="131" t="s">
        <v>0</v>
      </c>
      <c r="L168" s="131"/>
      <c r="M168" s="131"/>
      <c r="N168" s="131"/>
      <c r="O168" s="132"/>
      <c r="P168" s="34"/>
    </row>
    <row r="169" spans="1:16" s="13" customFormat="1" ht="30.75" customHeight="1" x14ac:dyDescent="0.25">
      <c r="A169" s="139">
        <f>44/52</f>
        <v>0.84615384615384615</v>
      </c>
      <c r="B169" s="130"/>
      <c r="C169" s="130"/>
      <c r="D169" s="130"/>
      <c r="E169" s="130"/>
      <c r="F169" s="130">
        <f>8/52</f>
        <v>0.15384615384615385</v>
      </c>
      <c r="G169" s="130"/>
      <c r="H169" s="130"/>
      <c r="I169" s="130"/>
      <c r="J169" s="130"/>
      <c r="K169" s="130">
        <f>0/52</f>
        <v>0</v>
      </c>
      <c r="L169" s="130"/>
      <c r="M169" s="130"/>
      <c r="N169" s="130"/>
      <c r="O169" s="133"/>
      <c r="P169" s="27">
        <f>SUM(A169:O169)</f>
        <v>1</v>
      </c>
    </row>
    <row r="170" spans="1:16" s="1" customFormat="1" ht="21.75" customHeight="1" x14ac:dyDescent="0.25">
      <c r="A170" s="175" t="s">
        <v>171</v>
      </c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21"/>
    </row>
    <row r="171" spans="1:16" s="1" customFormat="1" ht="23.25" customHeight="1" x14ac:dyDescent="0.25">
      <c r="A171" s="172" t="s">
        <v>52</v>
      </c>
      <c r="B171" s="131"/>
      <c r="C171" s="131"/>
      <c r="D171" s="131"/>
      <c r="E171" s="131"/>
      <c r="F171" s="131" t="s">
        <v>51</v>
      </c>
      <c r="G171" s="131"/>
      <c r="H171" s="131"/>
      <c r="I171" s="131"/>
      <c r="J171" s="131"/>
      <c r="K171" s="131" t="s">
        <v>0</v>
      </c>
      <c r="L171" s="131"/>
      <c r="M171" s="131"/>
      <c r="N171" s="131"/>
      <c r="O171" s="132"/>
      <c r="P171" s="21"/>
    </row>
    <row r="172" spans="1:16" s="1" customFormat="1" ht="24.75" customHeight="1" x14ac:dyDescent="0.25">
      <c r="A172" s="139">
        <f>50/52</f>
        <v>0.96153846153846156</v>
      </c>
      <c r="B172" s="130"/>
      <c r="C172" s="130"/>
      <c r="D172" s="130"/>
      <c r="E172" s="130"/>
      <c r="F172" s="130">
        <f>2/52</f>
        <v>3.8461538461538464E-2</v>
      </c>
      <c r="G172" s="130"/>
      <c r="H172" s="130"/>
      <c r="I172" s="130"/>
      <c r="J172" s="130"/>
      <c r="K172" s="130">
        <f>0/52</f>
        <v>0</v>
      </c>
      <c r="L172" s="130"/>
      <c r="M172" s="130"/>
      <c r="N172" s="130"/>
      <c r="O172" s="133"/>
      <c r="P172" s="27">
        <f>SUM(A172:O172)</f>
        <v>1</v>
      </c>
    </row>
    <row r="173" spans="1:16" s="1" customFormat="1" x14ac:dyDescent="0.25">
      <c r="A173" s="175" t="s">
        <v>172</v>
      </c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21"/>
    </row>
    <row r="174" spans="1:16" s="1" customFormat="1" ht="25.5" customHeight="1" x14ac:dyDescent="0.25">
      <c r="A174" s="93" t="s">
        <v>50</v>
      </c>
      <c r="B174" s="80"/>
      <c r="C174" s="80"/>
      <c r="D174" s="80"/>
      <c r="E174" s="80"/>
      <c r="F174" s="80" t="s">
        <v>51</v>
      </c>
      <c r="G174" s="80"/>
      <c r="H174" s="80"/>
      <c r="I174" s="80"/>
      <c r="J174" s="80"/>
      <c r="K174" s="80" t="s">
        <v>0</v>
      </c>
      <c r="L174" s="80"/>
      <c r="M174" s="80"/>
      <c r="N174" s="80"/>
      <c r="O174" s="81"/>
      <c r="P174" s="21"/>
    </row>
    <row r="175" spans="1:16" s="1" customFormat="1" ht="20.25" customHeight="1" x14ac:dyDescent="0.25">
      <c r="A175" s="114">
        <f>5/52</f>
        <v>9.6153846153846159E-2</v>
      </c>
      <c r="B175" s="115"/>
      <c r="C175" s="115"/>
      <c r="D175" s="115"/>
      <c r="E175" s="115"/>
      <c r="F175" s="114">
        <f>47/52</f>
        <v>0.90384615384615385</v>
      </c>
      <c r="G175" s="115"/>
      <c r="H175" s="115"/>
      <c r="I175" s="115"/>
      <c r="J175" s="115"/>
      <c r="K175" s="114">
        <f>0/52</f>
        <v>0</v>
      </c>
      <c r="L175" s="115"/>
      <c r="M175" s="115"/>
      <c r="N175" s="115"/>
      <c r="O175" s="115"/>
      <c r="P175" s="27">
        <f>A175+F175+K175</f>
        <v>1</v>
      </c>
    </row>
    <row r="176" spans="1:16" s="1" customFormat="1" ht="35.25" customHeight="1" x14ac:dyDescent="0.25">
      <c r="A176" s="181" t="s">
        <v>173</v>
      </c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21"/>
    </row>
    <row r="177" spans="1:16" s="13" customFormat="1" ht="20.25" customHeight="1" x14ac:dyDescent="0.3">
      <c r="A177" s="47" t="s">
        <v>174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34"/>
    </row>
    <row r="178" spans="1:16" s="13" customFormat="1" ht="20.25" customHeight="1" x14ac:dyDescent="0.3">
      <c r="A178" s="52" t="s">
        <v>175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34"/>
    </row>
    <row r="179" spans="1:16" s="13" customFormat="1" ht="27.75" customHeight="1" x14ac:dyDescent="0.25">
      <c r="A179" s="164" t="s">
        <v>196</v>
      </c>
      <c r="B179" s="165"/>
      <c r="C179" s="163" t="s">
        <v>197</v>
      </c>
      <c r="D179" s="164"/>
      <c r="E179" s="165"/>
      <c r="F179" s="163" t="s">
        <v>198</v>
      </c>
      <c r="G179" s="165"/>
      <c r="H179" s="163" t="s">
        <v>199</v>
      </c>
      <c r="I179" s="164"/>
      <c r="J179" s="165"/>
      <c r="K179" s="166" t="s">
        <v>200</v>
      </c>
      <c r="L179" s="166"/>
      <c r="M179" s="163" t="s">
        <v>39</v>
      </c>
      <c r="N179" s="164"/>
      <c r="O179" s="164"/>
      <c r="P179" s="34"/>
    </row>
    <row r="180" spans="1:16" s="13" customFormat="1" ht="27.75" customHeight="1" x14ac:dyDescent="0.25">
      <c r="A180" s="134">
        <f>3/52</f>
        <v>5.7692307692307696E-2</v>
      </c>
      <c r="B180" s="139"/>
      <c r="C180" s="133">
        <f>2/52</f>
        <v>3.8461538461538464E-2</v>
      </c>
      <c r="D180" s="134"/>
      <c r="E180" s="139"/>
      <c r="F180" s="133">
        <f>8/52</f>
        <v>0.15384615384615385</v>
      </c>
      <c r="G180" s="139"/>
      <c r="H180" s="133">
        <f>17/52</f>
        <v>0.32692307692307693</v>
      </c>
      <c r="I180" s="134"/>
      <c r="J180" s="139"/>
      <c r="K180" s="133">
        <f>21/52</f>
        <v>0.40384615384615385</v>
      </c>
      <c r="L180" s="139"/>
      <c r="M180" s="133">
        <f>1/52</f>
        <v>1.9230769230769232E-2</v>
      </c>
      <c r="N180" s="134"/>
      <c r="O180" s="134"/>
      <c r="P180" s="27">
        <f>SUM(A180:O180)</f>
        <v>1</v>
      </c>
    </row>
    <row r="181" spans="1:16" s="33" customFormat="1" ht="19.5" customHeight="1" x14ac:dyDescent="0.25">
      <c r="A181" s="36" t="s">
        <v>176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6" s="1" customFormat="1" ht="49.5" customHeight="1" x14ac:dyDescent="0.25">
      <c r="A182" s="164" t="s">
        <v>196</v>
      </c>
      <c r="B182" s="165"/>
      <c r="C182" s="163" t="s">
        <v>197</v>
      </c>
      <c r="D182" s="164"/>
      <c r="E182" s="165"/>
      <c r="F182" s="163" t="s">
        <v>198</v>
      </c>
      <c r="G182" s="165"/>
      <c r="H182" s="163" t="s">
        <v>199</v>
      </c>
      <c r="I182" s="164"/>
      <c r="J182" s="165"/>
      <c r="K182" s="166" t="s">
        <v>200</v>
      </c>
      <c r="L182" s="166"/>
      <c r="M182" s="163" t="s">
        <v>39</v>
      </c>
      <c r="N182" s="164"/>
      <c r="O182" s="164"/>
      <c r="P182" s="24"/>
    </row>
    <row r="183" spans="1:16" s="1" customFormat="1" ht="19.5" customHeight="1" x14ac:dyDescent="0.25">
      <c r="A183" s="134">
        <f>0/52</f>
        <v>0</v>
      </c>
      <c r="B183" s="139"/>
      <c r="C183" s="133">
        <f>2/52</f>
        <v>3.8461538461538464E-2</v>
      </c>
      <c r="D183" s="134"/>
      <c r="E183" s="139"/>
      <c r="F183" s="133">
        <f>7/52</f>
        <v>0.13461538461538461</v>
      </c>
      <c r="G183" s="139"/>
      <c r="H183" s="133">
        <f>19/52</f>
        <v>0.36538461538461536</v>
      </c>
      <c r="I183" s="134"/>
      <c r="J183" s="139"/>
      <c r="K183" s="133">
        <f>24/52</f>
        <v>0.46153846153846156</v>
      </c>
      <c r="L183" s="139"/>
      <c r="M183" s="133">
        <f>0/52</f>
        <v>0</v>
      </c>
      <c r="N183" s="134"/>
      <c r="O183" s="134"/>
      <c r="P183" s="27">
        <f>SUM(A183:O183)</f>
        <v>1</v>
      </c>
    </row>
    <row r="184" spans="1:16" s="1" customFormat="1" ht="22.5" customHeight="1" x14ac:dyDescent="0.25">
      <c r="A184" s="174" t="s">
        <v>177</v>
      </c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21"/>
    </row>
    <row r="185" spans="1:16" s="1" customFormat="1" ht="21.75" customHeight="1" x14ac:dyDescent="0.25">
      <c r="A185" s="164" t="s">
        <v>196</v>
      </c>
      <c r="B185" s="165"/>
      <c r="C185" s="163" t="s">
        <v>197</v>
      </c>
      <c r="D185" s="164"/>
      <c r="E185" s="165"/>
      <c r="F185" s="163" t="s">
        <v>198</v>
      </c>
      <c r="G185" s="165"/>
      <c r="H185" s="163" t="s">
        <v>199</v>
      </c>
      <c r="I185" s="164"/>
      <c r="J185" s="165"/>
      <c r="K185" s="166" t="s">
        <v>200</v>
      </c>
      <c r="L185" s="166"/>
      <c r="M185" s="163" t="s">
        <v>39</v>
      </c>
      <c r="N185" s="164"/>
      <c r="O185" s="164"/>
      <c r="P185" s="21"/>
    </row>
    <row r="186" spans="1:16" s="1" customFormat="1" ht="16.5" x14ac:dyDescent="0.25">
      <c r="A186" s="134">
        <f>2/52</f>
        <v>3.8461538461538464E-2</v>
      </c>
      <c r="B186" s="139"/>
      <c r="C186" s="133">
        <f>1/52</f>
        <v>1.9230769230769232E-2</v>
      </c>
      <c r="D186" s="134"/>
      <c r="E186" s="139"/>
      <c r="F186" s="133">
        <f>9/52</f>
        <v>0.17307692307692307</v>
      </c>
      <c r="G186" s="139"/>
      <c r="H186" s="133">
        <f>18/52</f>
        <v>0.34615384615384615</v>
      </c>
      <c r="I186" s="134"/>
      <c r="J186" s="139"/>
      <c r="K186" s="133">
        <f>22/52</f>
        <v>0.42307692307692307</v>
      </c>
      <c r="L186" s="139"/>
      <c r="M186" s="133">
        <f>0/52</f>
        <v>0</v>
      </c>
      <c r="N186" s="134"/>
      <c r="O186" s="134"/>
      <c r="P186" s="27">
        <f>SUM(A186:O186)</f>
        <v>1</v>
      </c>
    </row>
    <row r="187" spans="1:16" s="1" customFormat="1" x14ac:dyDescent="0.25">
      <c r="A187" s="174" t="s">
        <v>178</v>
      </c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21"/>
    </row>
    <row r="188" spans="1:16" s="1" customFormat="1" ht="16.5" x14ac:dyDescent="0.25">
      <c r="A188" s="164" t="s">
        <v>196</v>
      </c>
      <c r="B188" s="165"/>
      <c r="C188" s="163" t="s">
        <v>197</v>
      </c>
      <c r="D188" s="164"/>
      <c r="E188" s="165"/>
      <c r="F188" s="163" t="s">
        <v>198</v>
      </c>
      <c r="G188" s="165"/>
      <c r="H188" s="163" t="s">
        <v>199</v>
      </c>
      <c r="I188" s="164"/>
      <c r="J188" s="165"/>
      <c r="K188" s="166" t="s">
        <v>200</v>
      </c>
      <c r="L188" s="166"/>
      <c r="M188" s="163" t="s">
        <v>39</v>
      </c>
      <c r="N188" s="164"/>
      <c r="O188" s="164"/>
      <c r="P188" s="21"/>
    </row>
    <row r="189" spans="1:16" s="1" customFormat="1" ht="16.5" x14ac:dyDescent="0.25">
      <c r="A189" s="134">
        <f>1/52</f>
        <v>1.9230769230769232E-2</v>
      </c>
      <c r="B189" s="139"/>
      <c r="C189" s="133">
        <f>3/52</f>
        <v>5.7692307692307696E-2</v>
      </c>
      <c r="D189" s="134"/>
      <c r="E189" s="139"/>
      <c r="F189" s="133">
        <f>9/52</f>
        <v>0.17307692307692307</v>
      </c>
      <c r="G189" s="139"/>
      <c r="H189" s="133">
        <f>17/52</f>
        <v>0.32692307692307693</v>
      </c>
      <c r="I189" s="134"/>
      <c r="J189" s="139"/>
      <c r="K189" s="133">
        <f>21/52</f>
        <v>0.40384615384615385</v>
      </c>
      <c r="L189" s="139"/>
      <c r="M189" s="133">
        <f>1/52</f>
        <v>1.9230769230769232E-2</v>
      </c>
      <c r="N189" s="134"/>
      <c r="O189" s="134"/>
      <c r="P189" s="27">
        <f>SUM(A189:O189)</f>
        <v>1</v>
      </c>
    </row>
    <row r="190" spans="1:16" s="1" customFormat="1" x14ac:dyDescent="0.25">
      <c r="A190" s="174" t="s">
        <v>179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21"/>
    </row>
    <row r="191" spans="1:16" s="1" customFormat="1" ht="21.75" customHeight="1" x14ac:dyDescent="0.25">
      <c r="A191" s="164" t="s">
        <v>196</v>
      </c>
      <c r="B191" s="165"/>
      <c r="C191" s="163" t="s">
        <v>197</v>
      </c>
      <c r="D191" s="164"/>
      <c r="E191" s="165"/>
      <c r="F191" s="163" t="s">
        <v>198</v>
      </c>
      <c r="G191" s="165"/>
      <c r="H191" s="163" t="s">
        <v>199</v>
      </c>
      <c r="I191" s="164"/>
      <c r="J191" s="165"/>
      <c r="K191" s="166" t="s">
        <v>200</v>
      </c>
      <c r="L191" s="166"/>
      <c r="M191" s="163" t="s">
        <v>39</v>
      </c>
      <c r="N191" s="164"/>
      <c r="O191" s="164"/>
      <c r="P191" s="21"/>
    </row>
    <row r="192" spans="1:16" s="1" customFormat="1" ht="20.25" customHeight="1" x14ac:dyDescent="0.25">
      <c r="A192" s="134">
        <f>2/52</f>
        <v>3.8461538461538464E-2</v>
      </c>
      <c r="B192" s="139"/>
      <c r="C192" s="133">
        <f>0/52</f>
        <v>0</v>
      </c>
      <c r="D192" s="134"/>
      <c r="E192" s="139"/>
      <c r="F192" s="133">
        <f>6/52</f>
        <v>0.11538461538461539</v>
      </c>
      <c r="G192" s="139"/>
      <c r="H192" s="133">
        <f>15/52</f>
        <v>0.28846153846153844</v>
      </c>
      <c r="I192" s="134"/>
      <c r="J192" s="139"/>
      <c r="K192" s="133">
        <f>29/52</f>
        <v>0.55769230769230771</v>
      </c>
      <c r="L192" s="139"/>
      <c r="M192" s="133">
        <f>0/52</f>
        <v>0</v>
      </c>
      <c r="N192" s="134"/>
      <c r="O192" s="134"/>
      <c r="P192" s="27">
        <f>SUM(A192:O192)</f>
        <v>1</v>
      </c>
    </row>
    <row r="193" spans="1:16" s="1" customFormat="1" x14ac:dyDescent="0.25">
      <c r="A193" s="174" t="s">
        <v>180</v>
      </c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21"/>
    </row>
    <row r="194" spans="1:16" s="1" customFormat="1" ht="16.5" x14ac:dyDescent="0.25">
      <c r="A194" s="164" t="s">
        <v>196</v>
      </c>
      <c r="B194" s="165"/>
      <c r="C194" s="163" t="s">
        <v>197</v>
      </c>
      <c r="D194" s="164"/>
      <c r="E194" s="165"/>
      <c r="F194" s="163" t="s">
        <v>198</v>
      </c>
      <c r="G194" s="165"/>
      <c r="H194" s="163" t="s">
        <v>199</v>
      </c>
      <c r="I194" s="164"/>
      <c r="J194" s="165"/>
      <c r="K194" s="166" t="s">
        <v>200</v>
      </c>
      <c r="L194" s="166"/>
      <c r="M194" s="163" t="s">
        <v>39</v>
      </c>
      <c r="N194" s="164"/>
      <c r="O194" s="164"/>
      <c r="P194" s="21"/>
    </row>
    <row r="195" spans="1:16" s="1" customFormat="1" ht="16.5" x14ac:dyDescent="0.25">
      <c r="A195" s="134">
        <f>3/52</f>
        <v>5.7692307692307696E-2</v>
      </c>
      <c r="B195" s="139"/>
      <c r="C195" s="133">
        <f>2/52</f>
        <v>3.8461538461538464E-2</v>
      </c>
      <c r="D195" s="134"/>
      <c r="E195" s="139"/>
      <c r="F195" s="133">
        <f>7/52</f>
        <v>0.13461538461538461</v>
      </c>
      <c r="G195" s="139"/>
      <c r="H195" s="133">
        <f>15/52</f>
        <v>0.28846153846153844</v>
      </c>
      <c r="I195" s="134"/>
      <c r="J195" s="139"/>
      <c r="K195" s="133">
        <f>25/52</f>
        <v>0.48076923076923078</v>
      </c>
      <c r="L195" s="139"/>
      <c r="M195" s="133">
        <f>0/52</f>
        <v>0</v>
      </c>
      <c r="N195" s="134"/>
      <c r="O195" s="134"/>
      <c r="P195" s="27">
        <f>SUM(A195:O195)</f>
        <v>1</v>
      </c>
    </row>
    <row r="196" spans="1:16" s="1" customFormat="1" ht="31.5" customHeight="1" x14ac:dyDescent="0.25">
      <c r="A196" s="174" t="s">
        <v>181</v>
      </c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21"/>
    </row>
    <row r="197" spans="1:16" s="1" customFormat="1" ht="16.5" x14ac:dyDescent="0.25">
      <c r="A197" s="164" t="s">
        <v>196</v>
      </c>
      <c r="B197" s="165"/>
      <c r="C197" s="163" t="s">
        <v>197</v>
      </c>
      <c r="D197" s="164"/>
      <c r="E197" s="165"/>
      <c r="F197" s="163" t="s">
        <v>198</v>
      </c>
      <c r="G197" s="165"/>
      <c r="H197" s="163" t="s">
        <v>199</v>
      </c>
      <c r="I197" s="164"/>
      <c r="J197" s="165"/>
      <c r="K197" s="166" t="s">
        <v>200</v>
      </c>
      <c r="L197" s="166"/>
      <c r="M197" s="163" t="s">
        <v>39</v>
      </c>
      <c r="N197" s="164"/>
      <c r="O197" s="164"/>
      <c r="P197" s="21"/>
    </row>
    <row r="198" spans="1:16" s="1" customFormat="1" ht="16.5" x14ac:dyDescent="0.25">
      <c r="A198" s="134">
        <f>2/52</f>
        <v>3.8461538461538464E-2</v>
      </c>
      <c r="B198" s="139"/>
      <c r="C198" s="133">
        <f>2/52</f>
        <v>3.8461538461538464E-2</v>
      </c>
      <c r="D198" s="134"/>
      <c r="E198" s="139"/>
      <c r="F198" s="133">
        <f>6/52</f>
        <v>0.11538461538461539</v>
      </c>
      <c r="G198" s="139"/>
      <c r="H198" s="133">
        <f>16/52</f>
        <v>0.30769230769230771</v>
      </c>
      <c r="I198" s="134"/>
      <c r="J198" s="139"/>
      <c r="K198" s="133">
        <f>26/52</f>
        <v>0.5</v>
      </c>
      <c r="L198" s="139"/>
      <c r="M198" s="133">
        <f>0/52</f>
        <v>0</v>
      </c>
      <c r="N198" s="134"/>
      <c r="O198" s="134"/>
      <c r="P198" s="27">
        <f>SUM(A198:O198)</f>
        <v>1</v>
      </c>
    </row>
    <row r="199" spans="1:16" s="1" customFormat="1" x14ac:dyDescent="0.25">
      <c r="A199" s="174" t="s">
        <v>182</v>
      </c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21"/>
    </row>
    <row r="200" spans="1:16" s="1" customFormat="1" ht="25.5" customHeight="1" x14ac:dyDescent="0.25">
      <c r="A200" s="164" t="s">
        <v>196</v>
      </c>
      <c r="B200" s="165"/>
      <c r="C200" s="163" t="s">
        <v>197</v>
      </c>
      <c r="D200" s="164"/>
      <c r="E200" s="165"/>
      <c r="F200" s="163" t="s">
        <v>198</v>
      </c>
      <c r="G200" s="165"/>
      <c r="H200" s="163" t="s">
        <v>199</v>
      </c>
      <c r="I200" s="164"/>
      <c r="J200" s="165"/>
      <c r="K200" s="166" t="s">
        <v>200</v>
      </c>
      <c r="L200" s="166"/>
      <c r="M200" s="163" t="s">
        <v>39</v>
      </c>
      <c r="N200" s="164"/>
      <c r="O200" s="164"/>
      <c r="P200" s="21"/>
    </row>
    <row r="201" spans="1:16" s="1" customFormat="1" ht="27.75" customHeight="1" x14ac:dyDescent="0.25">
      <c r="A201" s="134">
        <f>2/52</f>
        <v>3.8461538461538464E-2</v>
      </c>
      <c r="B201" s="139"/>
      <c r="C201" s="133">
        <f>3/52</f>
        <v>5.7692307692307696E-2</v>
      </c>
      <c r="D201" s="134"/>
      <c r="E201" s="139"/>
      <c r="F201" s="133">
        <f>5/52</f>
        <v>9.6153846153846159E-2</v>
      </c>
      <c r="G201" s="139"/>
      <c r="H201" s="133">
        <f>16/52</f>
        <v>0.30769230769230771</v>
      </c>
      <c r="I201" s="134"/>
      <c r="J201" s="139"/>
      <c r="K201" s="133">
        <f>26/52</f>
        <v>0.5</v>
      </c>
      <c r="L201" s="139"/>
      <c r="M201" s="133">
        <f>0/52</f>
        <v>0</v>
      </c>
      <c r="N201" s="134"/>
      <c r="O201" s="134"/>
      <c r="P201" s="27">
        <f>SUM(A201:O201)</f>
        <v>1</v>
      </c>
    </row>
    <row r="202" spans="1:16" s="1" customFormat="1" x14ac:dyDescent="0.25">
      <c r="A202" s="174" t="s">
        <v>219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21"/>
    </row>
    <row r="203" spans="1:16" s="1" customFormat="1" ht="16.5" x14ac:dyDescent="0.25">
      <c r="A203" s="164" t="s">
        <v>196</v>
      </c>
      <c r="B203" s="165"/>
      <c r="C203" s="163" t="s">
        <v>197</v>
      </c>
      <c r="D203" s="164"/>
      <c r="E203" s="165"/>
      <c r="F203" s="163" t="s">
        <v>198</v>
      </c>
      <c r="G203" s="165"/>
      <c r="H203" s="163" t="s">
        <v>199</v>
      </c>
      <c r="I203" s="164"/>
      <c r="J203" s="165"/>
      <c r="K203" s="166" t="s">
        <v>200</v>
      </c>
      <c r="L203" s="166"/>
      <c r="M203" s="163" t="s">
        <v>39</v>
      </c>
      <c r="N203" s="164"/>
      <c r="O203" s="164"/>
      <c r="P203" s="21"/>
    </row>
    <row r="204" spans="1:16" s="1" customFormat="1" ht="16.5" x14ac:dyDescent="0.25">
      <c r="A204" s="134">
        <f>4/52</f>
        <v>7.6923076923076927E-2</v>
      </c>
      <c r="B204" s="139"/>
      <c r="C204" s="133">
        <f>0/52</f>
        <v>0</v>
      </c>
      <c r="D204" s="134"/>
      <c r="E204" s="139"/>
      <c r="F204" s="133">
        <f>9/52</f>
        <v>0.17307692307692307</v>
      </c>
      <c r="G204" s="139"/>
      <c r="H204" s="133">
        <f>15/52</f>
        <v>0.28846153846153844</v>
      </c>
      <c r="I204" s="134"/>
      <c r="J204" s="139"/>
      <c r="K204" s="133">
        <f>24/52</f>
        <v>0.46153846153846156</v>
      </c>
      <c r="L204" s="139"/>
      <c r="M204" s="133">
        <f>0/52</f>
        <v>0</v>
      </c>
      <c r="N204" s="134"/>
      <c r="O204" s="134"/>
      <c r="P204" s="27">
        <f>SUM(A204:O204)</f>
        <v>1</v>
      </c>
    </row>
    <row r="205" spans="1:16" s="1" customFormat="1" x14ac:dyDescent="0.25">
      <c r="A205" s="174" t="s">
        <v>218</v>
      </c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21"/>
    </row>
    <row r="206" spans="1:16" s="1" customFormat="1" ht="16.5" x14ac:dyDescent="0.25">
      <c r="A206" s="164" t="s">
        <v>196</v>
      </c>
      <c r="B206" s="165"/>
      <c r="C206" s="163" t="s">
        <v>197</v>
      </c>
      <c r="D206" s="164"/>
      <c r="E206" s="165"/>
      <c r="F206" s="163" t="s">
        <v>198</v>
      </c>
      <c r="G206" s="165"/>
      <c r="H206" s="163" t="s">
        <v>199</v>
      </c>
      <c r="I206" s="164"/>
      <c r="J206" s="165"/>
      <c r="K206" s="166" t="s">
        <v>200</v>
      </c>
      <c r="L206" s="166"/>
      <c r="M206" s="163" t="s">
        <v>39</v>
      </c>
      <c r="N206" s="164"/>
      <c r="O206" s="164"/>
      <c r="P206" s="21"/>
    </row>
    <row r="207" spans="1:16" s="1" customFormat="1" ht="16.5" x14ac:dyDescent="0.25">
      <c r="A207" s="134">
        <f>7/52</f>
        <v>0.13461538461538461</v>
      </c>
      <c r="B207" s="139"/>
      <c r="C207" s="133">
        <f>3/52</f>
        <v>5.7692307692307696E-2</v>
      </c>
      <c r="D207" s="134"/>
      <c r="E207" s="139"/>
      <c r="F207" s="133">
        <f>9/52</f>
        <v>0.17307692307692307</v>
      </c>
      <c r="G207" s="139"/>
      <c r="H207" s="133">
        <f>14/52</f>
        <v>0.26923076923076922</v>
      </c>
      <c r="I207" s="134"/>
      <c r="J207" s="139"/>
      <c r="K207" s="133">
        <f>19/52</f>
        <v>0.36538461538461536</v>
      </c>
      <c r="L207" s="139"/>
      <c r="M207" s="133">
        <f>0/52</f>
        <v>0</v>
      </c>
      <c r="N207" s="134"/>
      <c r="O207" s="134"/>
      <c r="P207" s="27">
        <f>SUM(A207:O207)</f>
        <v>1</v>
      </c>
    </row>
    <row r="208" spans="1:16" s="1" customFormat="1" x14ac:dyDescent="0.25">
      <c r="A208" s="174" t="s">
        <v>217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21"/>
    </row>
    <row r="209" spans="1:16" s="1" customFormat="1" ht="16.5" x14ac:dyDescent="0.25">
      <c r="A209" s="164" t="s">
        <v>196</v>
      </c>
      <c r="B209" s="165"/>
      <c r="C209" s="163" t="s">
        <v>197</v>
      </c>
      <c r="D209" s="164"/>
      <c r="E209" s="165"/>
      <c r="F209" s="163" t="s">
        <v>198</v>
      </c>
      <c r="G209" s="165"/>
      <c r="H209" s="163" t="s">
        <v>199</v>
      </c>
      <c r="I209" s="164"/>
      <c r="J209" s="165"/>
      <c r="K209" s="166" t="s">
        <v>200</v>
      </c>
      <c r="L209" s="166"/>
      <c r="M209" s="163" t="s">
        <v>39</v>
      </c>
      <c r="N209" s="164"/>
      <c r="O209" s="164"/>
      <c r="P209" s="21"/>
    </row>
    <row r="210" spans="1:16" s="1" customFormat="1" ht="16.5" x14ac:dyDescent="0.25">
      <c r="A210" s="134">
        <f>9/52</f>
        <v>0.17307692307692307</v>
      </c>
      <c r="B210" s="139"/>
      <c r="C210" s="133">
        <f>5/52</f>
        <v>9.6153846153846159E-2</v>
      </c>
      <c r="D210" s="134"/>
      <c r="E210" s="139"/>
      <c r="F210" s="133">
        <f>11/52</f>
        <v>0.21153846153846154</v>
      </c>
      <c r="G210" s="139"/>
      <c r="H210" s="133">
        <f>9/52</f>
        <v>0.17307692307692307</v>
      </c>
      <c r="I210" s="134"/>
      <c r="J210" s="139"/>
      <c r="K210" s="133">
        <f>18/52</f>
        <v>0.34615384615384615</v>
      </c>
      <c r="L210" s="139"/>
      <c r="M210" s="133">
        <f>0/52</f>
        <v>0</v>
      </c>
      <c r="N210" s="134"/>
      <c r="O210" s="134"/>
      <c r="P210" s="27">
        <f>SUM(A209:O210)</f>
        <v>0.99999999999999989</v>
      </c>
    </row>
    <row r="211" spans="1:16" s="21" customFormat="1" ht="24.75" customHeight="1" x14ac:dyDescent="0.25">
      <c r="A211" s="174" t="s">
        <v>183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</row>
    <row r="212" spans="1:16" s="13" customFormat="1" ht="22.5" customHeight="1" x14ac:dyDescent="0.25">
      <c r="A212" s="164" t="s">
        <v>196</v>
      </c>
      <c r="B212" s="165"/>
      <c r="C212" s="163" t="s">
        <v>197</v>
      </c>
      <c r="D212" s="164"/>
      <c r="E212" s="165"/>
      <c r="F212" s="163" t="s">
        <v>198</v>
      </c>
      <c r="G212" s="165"/>
      <c r="H212" s="163" t="s">
        <v>199</v>
      </c>
      <c r="I212" s="164"/>
      <c r="J212" s="165"/>
      <c r="K212" s="166" t="s">
        <v>200</v>
      </c>
      <c r="L212" s="166"/>
      <c r="M212" s="163" t="s">
        <v>39</v>
      </c>
      <c r="N212" s="164"/>
      <c r="O212" s="164"/>
      <c r="P212" s="34"/>
    </row>
    <row r="213" spans="1:16" s="13" customFormat="1" ht="22.5" customHeight="1" x14ac:dyDescent="0.25">
      <c r="A213" s="134">
        <f>4/52</f>
        <v>7.6923076923076927E-2</v>
      </c>
      <c r="B213" s="139"/>
      <c r="C213" s="133">
        <f>6/52</f>
        <v>0.11538461538461539</v>
      </c>
      <c r="D213" s="134"/>
      <c r="E213" s="139"/>
      <c r="F213" s="133">
        <f>11/52</f>
        <v>0.21153846153846154</v>
      </c>
      <c r="G213" s="139"/>
      <c r="H213" s="133">
        <f>7/52</f>
        <v>0.13461538461538461</v>
      </c>
      <c r="I213" s="134"/>
      <c r="J213" s="139"/>
      <c r="K213" s="133">
        <f>24/52</f>
        <v>0.46153846153846156</v>
      </c>
      <c r="L213" s="139"/>
      <c r="M213" s="133">
        <f>0/52</f>
        <v>0</v>
      </c>
      <c r="N213" s="134"/>
      <c r="O213" s="134"/>
      <c r="P213" s="27">
        <f>SUM(A213:O213)</f>
        <v>1</v>
      </c>
    </row>
    <row r="214" spans="1:16" s="1" customFormat="1" ht="35.25" customHeight="1" x14ac:dyDescent="0.25">
      <c r="A214" s="173" t="s">
        <v>184</v>
      </c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21"/>
    </row>
    <row r="215" spans="1:16" s="1" customFormat="1" ht="36.75" customHeight="1" x14ac:dyDescent="0.25">
      <c r="A215" s="172" t="s">
        <v>52</v>
      </c>
      <c r="B215" s="131"/>
      <c r="C215" s="131"/>
      <c r="D215" s="131"/>
      <c r="E215" s="131"/>
      <c r="F215" s="131" t="s">
        <v>51</v>
      </c>
      <c r="G215" s="131"/>
      <c r="H215" s="131"/>
      <c r="I215" s="131"/>
      <c r="J215" s="131"/>
      <c r="K215" s="131" t="s">
        <v>0</v>
      </c>
      <c r="L215" s="131"/>
      <c r="M215" s="131"/>
      <c r="N215" s="131"/>
      <c r="O215" s="132"/>
      <c r="P215" s="21"/>
    </row>
    <row r="216" spans="1:16" s="1" customFormat="1" ht="19.5" customHeight="1" x14ac:dyDescent="0.25">
      <c r="A216" s="139">
        <f>29/52</f>
        <v>0.55769230769230771</v>
      </c>
      <c r="B216" s="130"/>
      <c r="C216" s="130"/>
      <c r="D216" s="130"/>
      <c r="E216" s="130"/>
      <c r="F216" s="130">
        <f>23/52</f>
        <v>0.44230769230769229</v>
      </c>
      <c r="G216" s="130"/>
      <c r="H216" s="130"/>
      <c r="I216" s="130"/>
      <c r="J216" s="130"/>
      <c r="K216" s="130">
        <f>0/52</f>
        <v>0</v>
      </c>
      <c r="L216" s="130"/>
      <c r="M216" s="130"/>
      <c r="N216" s="130"/>
      <c r="O216" s="133"/>
      <c r="P216" s="27">
        <f>SUM(A216:O216)</f>
        <v>1</v>
      </c>
    </row>
    <row r="217" spans="1:16" s="1" customFormat="1" x14ac:dyDescent="0.25">
      <c r="A217" s="181" t="s">
        <v>185</v>
      </c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21"/>
    </row>
    <row r="218" spans="1:16" s="1" customFormat="1" ht="31.5" customHeight="1" x14ac:dyDescent="0.25">
      <c r="A218" s="172" t="s">
        <v>52</v>
      </c>
      <c r="B218" s="131"/>
      <c r="C218" s="131"/>
      <c r="D218" s="131"/>
      <c r="E218" s="131"/>
      <c r="F218" s="131" t="s">
        <v>51</v>
      </c>
      <c r="G218" s="131"/>
      <c r="H218" s="131"/>
      <c r="I218" s="131"/>
      <c r="J218" s="131"/>
      <c r="K218" s="131" t="s">
        <v>0</v>
      </c>
      <c r="L218" s="131"/>
      <c r="M218" s="131"/>
      <c r="N218" s="131"/>
      <c r="O218" s="132"/>
      <c r="P218" s="21"/>
    </row>
    <row r="219" spans="1:16" s="1" customFormat="1" ht="23.25" customHeight="1" x14ac:dyDescent="0.25">
      <c r="A219" s="139">
        <f>32/52</f>
        <v>0.61538461538461542</v>
      </c>
      <c r="B219" s="130"/>
      <c r="C219" s="130"/>
      <c r="D219" s="130"/>
      <c r="E219" s="130"/>
      <c r="F219" s="130">
        <f>20/52</f>
        <v>0.38461538461538464</v>
      </c>
      <c r="G219" s="130"/>
      <c r="H219" s="130"/>
      <c r="I219" s="130"/>
      <c r="J219" s="130"/>
      <c r="K219" s="130">
        <f>0/52</f>
        <v>0</v>
      </c>
      <c r="L219" s="130"/>
      <c r="M219" s="130"/>
      <c r="N219" s="130"/>
      <c r="O219" s="133"/>
      <c r="P219" s="27">
        <f>SUM(A219:O219)</f>
        <v>1</v>
      </c>
    </row>
    <row r="220" spans="1:16" s="1" customFormat="1" ht="19.5" customHeight="1" x14ac:dyDescent="0.25">
      <c r="A220" s="181" t="s">
        <v>187</v>
      </c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21"/>
    </row>
    <row r="221" spans="1:16" s="1" customFormat="1" ht="30.75" customHeight="1" x14ac:dyDescent="0.25">
      <c r="A221" s="172" t="s">
        <v>52</v>
      </c>
      <c r="B221" s="131"/>
      <c r="C221" s="131"/>
      <c r="D221" s="131"/>
      <c r="E221" s="131"/>
      <c r="F221" s="131" t="s">
        <v>51</v>
      </c>
      <c r="G221" s="131"/>
      <c r="H221" s="131"/>
      <c r="I221" s="131"/>
      <c r="J221" s="131"/>
      <c r="K221" s="131" t="s">
        <v>0</v>
      </c>
      <c r="L221" s="131"/>
      <c r="M221" s="131"/>
      <c r="N221" s="131"/>
      <c r="O221" s="132"/>
      <c r="P221" s="21"/>
    </row>
    <row r="222" spans="1:16" s="1" customFormat="1" ht="21.75" customHeight="1" x14ac:dyDescent="0.25">
      <c r="A222" s="139">
        <f>3/52</f>
        <v>5.7692307692307696E-2</v>
      </c>
      <c r="B222" s="130"/>
      <c r="C222" s="130"/>
      <c r="D222" s="130"/>
      <c r="E222" s="130"/>
      <c r="F222" s="130">
        <f>49/52</f>
        <v>0.94230769230769229</v>
      </c>
      <c r="G222" s="130"/>
      <c r="H222" s="130"/>
      <c r="I222" s="130"/>
      <c r="J222" s="130"/>
      <c r="K222" s="130">
        <f>0/52</f>
        <v>0</v>
      </c>
      <c r="L222" s="130"/>
      <c r="M222" s="130"/>
      <c r="N222" s="130"/>
      <c r="O222" s="133"/>
      <c r="P222" s="27">
        <f>SUM(A222:O222)</f>
        <v>1</v>
      </c>
    </row>
    <row r="223" spans="1:16" s="1" customFormat="1" ht="32.25" customHeight="1" x14ac:dyDescent="0.25">
      <c r="A223" s="173" t="s">
        <v>188</v>
      </c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21"/>
    </row>
    <row r="224" spans="1:16" s="1" customFormat="1" ht="33" customHeight="1" x14ac:dyDescent="0.25">
      <c r="A224" s="172" t="s">
        <v>52</v>
      </c>
      <c r="B224" s="131"/>
      <c r="C224" s="131"/>
      <c r="D224" s="131"/>
      <c r="E224" s="131"/>
      <c r="F224" s="131" t="s">
        <v>51</v>
      </c>
      <c r="G224" s="131"/>
      <c r="H224" s="131"/>
      <c r="I224" s="131"/>
      <c r="J224" s="131"/>
      <c r="K224" s="131" t="s">
        <v>0</v>
      </c>
      <c r="L224" s="131"/>
      <c r="M224" s="131"/>
      <c r="N224" s="131"/>
      <c r="O224" s="132"/>
      <c r="P224" s="21"/>
    </row>
    <row r="225" spans="1:18" s="1" customFormat="1" ht="24" customHeight="1" x14ac:dyDescent="0.25">
      <c r="A225" s="139">
        <f>34/52</f>
        <v>0.65384615384615385</v>
      </c>
      <c r="B225" s="130"/>
      <c r="C225" s="130"/>
      <c r="D225" s="130"/>
      <c r="E225" s="130"/>
      <c r="F225" s="130">
        <f>18/52</f>
        <v>0.34615384615384615</v>
      </c>
      <c r="G225" s="130"/>
      <c r="H225" s="130"/>
      <c r="I225" s="130"/>
      <c r="J225" s="130"/>
      <c r="K225" s="130">
        <f>0/52</f>
        <v>0</v>
      </c>
      <c r="L225" s="130"/>
      <c r="M225" s="130"/>
      <c r="N225" s="130"/>
      <c r="O225" s="133"/>
      <c r="P225" s="27">
        <f>SUM(A225:O225)</f>
        <v>1</v>
      </c>
    </row>
    <row r="226" spans="1:18" s="1" customFormat="1" ht="38.25" customHeight="1" x14ac:dyDescent="0.25">
      <c r="A226" s="181" t="s">
        <v>186</v>
      </c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21"/>
    </row>
    <row r="227" spans="1:18" s="1" customFormat="1" ht="30" customHeight="1" x14ac:dyDescent="0.25">
      <c r="A227" s="164" t="s">
        <v>196</v>
      </c>
      <c r="B227" s="165"/>
      <c r="C227" s="163" t="s">
        <v>197</v>
      </c>
      <c r="D227" s="164"/>
      <c r="E227" s="165"/>
      <c r="F227" s="163" t="s">
        <v>198</v>
      </c>
      <c r="G227" s="165"/>
      <c r="H227" s="163" t="s">
        <v>199</v>
      </c>
      <c r="I227" s="164"/>
      <c r="J227" s="165"/>
      <c r="K227" s="166" t="s">
        <v>200</v>
      </c>
      <c r="L227" s="166"/>
      <c r="M227" s="163" t="s">
        <v>39</v>
      </c>
      <c r="N227" s="164"/>
      <c r="O227" s="164"/>
      <c r="P227" s="21"/>
    </row>
    <row r="228" spans="1:18" s="1" customFormat="1" ht="21" customHeight="1" x14ac:dyDescent="0.25">
      <c r="A228" s="134">
        <f>0/52</f>
        <v>0</v>
      </c>
      <c r="B228" s="139"/>
      <c r="C228" s="133">
        <f>0/52</f>
        <v>0</v>
      </c>
      <c r="D228" s="134"/>
      <c r="E228" s="139"/>
      <c r="F228" s="133">
        <f>7/52</f>
        <v>0.13461538461538461</v>
      </c>
      <c r="G228" s="139"/>
      <c r="H228" s="133">
        <f>18/52</f>
        <v>0.34615384615384615</v>
      </c>
      <c r="I228" s="134"/>
      <c r="J228" s="139"/>
      <c r="K228" s="133">
        <f>27/52</f>
        <v>0.51923076923076927</v>
      </c>
      <c r="L228" s="139"/>
      <c r="M228" s="133">
        <f>0/52</f>
        <v>0</v>
      </c>
      <c r="N228" s="134"/>
      <c r="O228" s="134"/>
      <c r="P228" s="27">
        <f>SUM(A228:O228)</f>
        <v>1</v>
      </c>
    </row>
    <row r="229" spans="1:18" s="1" customFormat="1" ht="33.75" customHeight="1" x14ac:dyDescent="0.25">
      <c r="A229" s="175" t="s">
        <v>189</v>
      </c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21"/>
    </row>
    <row r="230" spans="1:18" s="1" customFormat="1" ht="38.25" customHeight="1" x14ac:dyDescent="0.25">
      <c r="A230" s="172" t="s">
        <v>52</v>
      </c>
      <c r="B230" s="131"/>
      <c r="C230" s="131"/>
      <c r="D230" s="131"/>
      <c r="E230" s="131"/>
      <c r="F230" s="131" t="s">
        <v>51</v>
      </c>
      <c r="G230" s="131"/>
      <c r="H230" s="131"/>
      <c r="I230" s="131"/>
      <c r="J230" s="131"/>
      <c r="K230" s="131" t="s">
        <v>0</v>
      </c>
      <c r="L230" s="131"/>
      <c r="M230" s="131"/>
      <c r="N230" s="131"/>
      <c r="O230" s="132"/>
      <c r="P230" s="21"/>
    </row>
    <row r="231" spans="1:18" s="1" customFormat="1" ht="22.5" customHeight="1" x14ac:dyDescent="0.25">
      <c r="A231" s="139">
        <f>50/52</f>
        <v>0.96153846153846156</v>
      </c>
      <c r="B231" s="130"/>
      <c r="C231" s="130"/>
      <c r="D231" s="130"/>
      <c r="E231" s="130"/>
      <c r="F231" s="130">
        <f>2/52</f>
        <v>3.8461538461538464E-2</v>
      </c>
      <c r="G231" s="130"/>
      <c r="H231" s="130"/>
      <c r="I231" s="130"/>
      <c r="J231" s="130"/>
      <c r="K231" s="130">
        <f>0/52</f>
        <v>0</v>
      </c>
      <c r="L231" s="130"/>
      <c r="M231" s="130"/>
      <c r="N231" s="130"/>
      <c r="O231" s="133"/>
      <c r="P231" s="27">
        <f>SUM(A231:O231)</f>
        <v>1</v>
      </c>
    </row>
    <row r="232" spans="1:18" s="1" customFormat="1" ht="24" customHeight="1" x14ac:dyDescent="0.25">
      <c r="A232" s="171" t="s">
        <v>190</v>
      </c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21"/>
    </row>
    <row r="233" spans="1:18" s="1" customFormat="1" ht="16.5" x14ac:dyDescent="0.25">
      <c r="A233" s="1" t="s">
        <v>226</v>
      </c>
      <c r="P233" s="21"/>
    </row>
    <row r="234" spans="1:18" s="1" customFormat="1" ht="16.5" x14ac:dyDescent="0.25">
      <c r="P234" s="21"/>
    </row>
    <row r="235" spans="1:18" s="1" customFormat="1" ht="16.5" x14ac:dyDescent="0.25">
      <c r="A235" s="79" t="s">
        <v>5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5"/>
      <c r="Q235" s="75"/>
      <c r="R235" s="75"/>
    </row>
    <row r="236" spans="1:18" s="1" customFormat="1" ht="16.5" x14ac:dyDescent="0.25">
      <c r="P236" s="21"/>
    </row>
    <row r="237" spans="1:18" s="1" customFormat="1" ht="16.5" x14ac:dyDescent="0.25">
      <c r="P237" s="21"/>
    </row>
    <row r="238" spans="1:18" s="1" customFormat="1" ht="16.5" x14ac:dyDescent="0.25">
      <c r="P238" s="21"/>
    </row>
    <row r="239" spans="1:18" s="1" customFormat="1" ht="16.5" x14ac:dyDescent="0.25">
      <c r="P239" s="21"/>
    </row>
    <row r="240" spans="1:18" s="1" customFormat="1" ht="16.5" x14ac:dyDescent="0.25">
      <c r="P240" s="21"/>
    </row>
    <row r="241" spans="16:16" s="1" customFormat="1" ht="16.5" x14ac:dyDescent="0.25">
      <c r="P241" s="21"/>
    </row>
    <row r="242" spans="16:16" s="1" customFormat="1" ht="16.5" x14ac:dyDescent="0.25">
      <c r="P242" s="21"/>
    </row>
    <row r="243" spans="16:16" s="1" customFormat="1" ht="16.5" x14ac:dyDescent="0.25">
      <c r="P243" s="21"/>
    </row>
    <row r="244" spans="16:16" s="1" customFormat="1" ht="16.5" x14ac:dyDescent="0.25">
      <c r="P244" s="21"/>
    </row>
    <row r="245" spans="16:16" s="1" customFormat="1" ht="16.5" x14ac:dyDescent="0.25">
      <c r="P245" s="21"/>
    </row>
    <row r="246" spans="16:16" s="1" customFormat="1" ht="16.5" x14ac:dyDescent="0.25">
      <c r="P246" s="21"/>
    </row>
    <row r="247" spans="16:16" s="1" customFormat="1" ht="16.5" x14ac:dyDescent="0.25">
      <c r="P247" s="21"/>
    </row>
    <row r="248" spans="16:16" s="1" customFormat="1" ht="16.5" x14ac:dyDescent="0.25">
      <c r="P248" s="21"/>
    </row>
    <row r="249" spans="16:16" s="1" customFormat="1" ht="16.5" x14ac:dyDescent="0.25">
      <c r="P249" s="21"/>
    </row>
  </sheetData>
  <sheetProtection password="CC71" sheet="1" objects="1" scenarios="1"/>
  <mergeCells count="835">
    <mergeCell ref="A41:B41"/>
    <mergeCell ref="C41:D41"/>
    <mergeCell ref="E41:F41"/>
    <mergeCell ref="G41:H41"/>
    <mergeCell ref="I41:J41"/>
    <mergeCell ref="K41:L41"/>
    <mergeCell ref="M41:O41"/>
    <mergeCell ref="A38:B38"/>
    <mergeCell ref="C38:D38"/>
    <mergeCell ref="E38:F38"/>
    <mergeCell ref="G38:H38"/>
    <mergeCell ref="I38:J38"/>
    <mergeCell ref="K38:L38"/>
    <mergeCell ref="M38:O38"/>
    <mergeCell ref="A40:B40"/>
    <mergeCell ref="C40:D40"/>
    <mergeCell ref="E40:F40"/>
    <mergeCell ref="G40:H40"/>
    <mergeCell ref="I40:J40"/>
    <mergeCell ref="K40:L40"/>
    <mergeCell ref="M40:O40"/>
    <mergeCell ref="A32:B32"/>
    <mergeCell ref="C32:D32"/>
    <mergeCell ref="E32:F32"/>
    <mergeCell ref="G32:H32"/>
    <mergeCell ref="I32:J32"/>
    <mergeCell ref="K32:L32"/>
    <mergeCell ref="M32:O32"/>
    <mergeCell ref="M35:O35"/>
    <mergeCell ref="A37:B37"/>
    <mergeCell ref="C37:D37"/>
    <mergeCell ref="E37:F37"/>
    <mergeCell ref="G37:H37"/>
    <mergeCell ref="I37:J37"/>
    <mergeCell ref="K37:L37"/>
    <mergeCell ref="M37:O37"/>
    <mergeCell ref="E29:F29"/>
    <mergeCell ref="G29:H29"/>
    <mergeCell ref="I29:J29"/>
    <mergeCell ref="K29:L29"/>
    <mergeCell ref="M29:O29"/>
    <mergeCell ref="A31:B31"/>
    <mergeCell ref="C31:D31"/>
    <mergeCell ref="E31:F31"/>
    <mergeCell ref="G31:H31"/>
    <mergeCell ref="I31:J31"/>
    <mergeCell ref="K31:L31"/>
    <mergeCell ref="M31:O31"/>
    <mergeCell ref="A9:E9"/>
    <mergeCell ref="F9:J9"/>
    <mergeCell ref="K9:O9"/>
    <mergeCell ref="A10:O10"/>
    <mergeCell ref="A11:O11"/>
    <mergeCell ref="A12:O12"/>
    <mergeCell ref="A2:O2"/>
    <mergeCell ref="A3:O3"/>
    <mergeCell ref="A7:O7"/>
    <mergeCell ref="A8:E8"/>
    <mergeCell ref="F8:J8"/>
    <mergeCell ref="K8:O8"/>
    <mergeCell ref="A5:O5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7:C17"/>
    <mergeCell ref="D17:E17"/>
    <mergeCell ref="F17:H17"/>
    <mergeCell ref="I17:J17"/>
    <mergeCell ref="K17:M17"/>
    <mergeCell ref="N17:O17"/>
    <mergeCell ref="A15:O15"/>
    <mergeCell ref="A16:C16"/>
    <mergeCell ref="D16:E16"/>
    <mergeCell ref="F16:H16"/>
    <mergeCell ref="I16:J16"/>
    <mergeCell ref="K16:M16"/>
    <mergeCell ref="N16:O16"/>
    <mergeCell ref="A21:C21"/>
    <mergeCell ref="A19:O19"/>
    <mergeCell ref="A20:C20"/>
    <mergeCell ref="D20:H20"/>
    <mergeCell ref="D21:H21"/>
    <mergeCell ref="I20:L20"/>
    <mergeCell ref="I21:L21"/>
    <mergeCell ref="M20:O20"/>
    <mergeCell ref="M21:O21"/>
    <mergeCell ref="A169:E169"/>
    <mergeCell ref="F169:J169"/>
    <mergeCell ref="K169:O169"/>
    <mergeCell ref="A25:O25"/>
    <mergeCell ref="A22:O22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8:B28"/>
    <mergeCell ref="C28:D28"/>
    <mergeCell ref="E28:F28"/>
    <mergeCell ref="G28:H28"/>
    <mergeCell ref="I28:J28"/>
    <mergeCell ref="K28:L28"/>
    <mergeCell ref="M28:O28"/>
    <mergeCell ref="A29:B29"/>
    <mergeCell ref="C29:D29"/>
    <mergeCell ref="M51:O51"/>
    <mergeCell ref="C54:E54"/>
    <mergeCell ref="F54:G54"/>
    <mergeCell ref="H54:J54"/>
    <mergeCell ref="A165:E165"/>
    <mergeCell ref="F165:J165"/>
    <mergeCell ref="K165:O165"/>
    <mergeCell ref="A168:E168"/>
    <mergeCell ref="F168:J168"/>
    <mergeCell ref="K168:O168"/>
    <mergeCell ref="K59:L59"/>
    <mergeCell ref="A104:B104"/>
    <mergeCell ref="C104:E104"/>
    <mergeCell ref="F104:G104"/>
    <mergeCell ref="H104:J104"/>
    <mergeCell ref="K104:L104"/>
    <mergeCell ref="M104:O104"/>
    <mergeCell ref="A77:O77"/>
    <mergeCell ref="A61:B61"/>
    <mergeCell ref="C61:E61"/>
    <mergeCell ref="F61:G61"/>
    <mergeCell ref="H61:J61"/>
    <mergeCell ref="K61:L61"/>
    <mergeCell ref="M61:O61"/>
    <mergeCell ref="A50:B50"/>
    <mergeCell ref="A53:B53"/>
    <mergeCell ref="C53:E53"/>
    <mergeCell ref="F53:G53"/>
    <mergeCell ref="H53:J53"/>
    <mergeCell ref="K53:L53"/>
    <mergeCell ref="C50:E50"/>
    <mergeCell ref="F50:G50"/>
    <mergeCell ref="K48:L48"/>
    <mergeCell ref="M48:O48"/>
    <mergeCell ref="A59:B59"/>
    <mergeCell ref="C59:E59"/>
    <mergeCell ref="F59:G59"/>
    <mergeCell ref="H59:J59"/>
    <mergeCell ref="A56:O56"/>
    <mergeCell ref="A42:O42"/>
    <mergeCell ref="M47:O47"/>
    <mergeCell ref="A44:O44"/>
    <mergeCell ref="K54:L54"/>
    <mergeCell ref="A47:B47"/>
    <mergeCell ref="C47:E47"/>
    <mergeCell ref="F47:G47"/>
    <mergeCell ref="H47:J47"/>
    <mergeCell ref="K47:L47"/>
    <mergeCell ref="A54:B54"/>
    <mergeCell ref="H58:J58"/>
    <mergeCell ref="K58:L58"/>
    <mergeCell ref="M58:O58"/>
    <mergeCell ref="A48:B48"/>
    <mergeCell ref="C48:E48"/>
    <mergeCell ref="F48:G48"/>
    <mergeCell ref="H48:J48"/>
    <mergeCell ref="M59:O59"/>
    <mergeCell ref="A62:B62"/>
    <mergeCell ref="C62:E62"/>
    <mergeCell ref="F62:G62"/>
    <mergeCell ref="H62:J62"/>
    <mergeCell ref="K62:L62"/>
    <mergeCell ref="M62:O62"/>
    <mergeCell ref="A64:B64"/>
    <mergeCell ref="C64:E64"/>
    <mergeCell ref="F64:G64"/>
    <mergeCell ref="H64:J64"/>
    <mergeCell ref="M64:O64"/>
    <mergeCell ref="A170:O170"/>
    <mergeCell ref="A167:O167"/>
    <mergeCell ref="M53:O53"/>
    <mergeCell ref="M54:O54"/>
    <mergeCell ref="A166:E166"/>
    <mergeCell ref="F166:J166"/>
    <mergeCell ref="K166:O166"/>
    <mergeCell ref="H50:J50"/>
    <mergeCell ref="K50:L50"/>
    <mergeCell ref="A51:B51"/>
    <mergeCell ref="C51:E51"/>
    <mergeCell ref="F51:G51"/>
    <mergeCell ref="H51:J51"/>
    <mergeCell ref="K51:L51"/>
    <mergeCell ref="A70:B70"/>
    <mergeCell ref="K70:L70"/>
    <mergeCell ref="M70:O70"/>
    <mergeCell ref="A58:B58"/>
    <mergeCell ref="C58:E58"/>
    <mergeCell ref="F58:G58"/>
    <mergeCell ref="K147:L147"/>
    <mergeCell ref="A126:B126"/>
    <mergeCell ref="A164:O164"/>
    <mergeCell ref="M50:O50"/>
    <mergeCell ref="A173:O173"/>
    <mergeCell ref="A171:E171"/>
    <mergeCell ref="F171:J171"/>
    <mergeCell ref="K171:O171"/>
    <mergeCell ref="A172:E172"/>
    <mergeCell ref="F172:J172"/>
    <mergeCell ref="K172:O172"/>
    <mergeCell ref="A174:E174"/>
    <mergeCell ref="F174:J174"/>
    <mergeCell ref="K174:O174"/>
    <mergeCell ref="A175:E175"/>
    <mergeCell ref="F175:J175"/>
    <mergeCell ref="K175:O175"/>
    <mergeCell ref="A176:O176"/>
    <mergeCell ref="A182:B182"/>
    <mergeCell ref="K182:L182"/>
    <mergeCell ref="A179:B179"/>
    <mergeCell ref="C179:E179"/>
    <mergeCell ref="F179:G179"/>
    <mergeCell ref="H179:J179"/>
    <mergeCell ref="K179:L179"/>
    <mergeCell ref="M179:O179"/>
    <mergeCell ref="A180:B180"/>
    <mergeCell ref="C180:E180"/>
    <mergeCell ref="F180:G180"/>
    <mergeCell ref="H180:J180"/>
    <mergeCell ref="K180:L180"/>
    <mergeCell ref="M180:O180"/>
    <mergeCell ref="C182:E182"/>
    <mergeCell ref="F182:G182"/>
    <mergeCell ref="H182:J182"/>
    <mergeCell ref="M182:O182"/>
    <mergeCell ref="A189:B189"/>
    <mergeCell ref="C189:E189"/>
    <mergeCell ref="F189:G189"/>
    <mergeCell ref="H189:J189"/>
    <mergeCell ref="K189:L189"/>
    <mergeCell ref="M189:O189"/>
    <mergeCell ref="A191:B191"/>
    <mergeCell ref="C191:E191"/>
    <mergeCell ref="F191:G191"/>
    <mergeCell ref="H191:J191"/>
    <mergeCell ref="K191:L191"/>
    <mergeCell ref="M191:O191"/>
    <mergeCell ref="A190:O190"/>
    <mergeCell ref="A195:B195"/>
    <mergeCell ref="C195:E195"/>
    <mergeCell ref="F195:G195"/>
    <mergeCell ref="H195:J195"/>
    <mergeCell ref="K195:L195"/>
    <mergeCell ref="M195:O195"/>
    <mergeCell ref="A197:B197"/>
    <mergeCell ref="C197:E197"/>
    <mergeCell ref="F197:G197"/>
    <mergeCell ref="H197:J197"/>
    <mergeCell ref="K197:L197"/>
    <mergeCell ref="M197:O197"/>
    <mergeCell ref="A196:O196"/>
    <mergeCell ref="A216:E216"/>
    <mergeCell ref="F216:J216"/>
    <mergeCell ref="K216:O216"/>
    <mergeCell ref="A18:O18"/>
    <mergeCell ref="A211:O211"/>
    <mergeCell ref="A208:O208"/>
    <mergeCell ref="A205:O205"/>
    <mergeCell ref="A202:O202"/>
    <mergeCell ref="M34:O34"/>
    <mergeCell ref="M73:O73"/>
    <mergeCell ref="A199:O199"/>
    <mergeCell ref="A201:B201"/>
    <mergeCell ref="C201:E201"/>
    <mergeCell ref="F201:G201"/>
    <mergeCell ref="H201:J201"/>
    <mergeCell ref="K201:L201"/>
    <mergeCell ref="M201:O201"/>
    <mergeCell ref="A203:B203"/>
    <mergeCell ref="C203:E203"/>
    <mergeCell ref="F203:G203"/>
    <mergeCell ref="H203:J203"/>
    <mergeCell ref="K203:L203"/>
    <mergeCell ref="M203:O203"/>
    <mergeCell ref="A204:B204"/>
    <mergeCell ref="A220:O220"/>
    <mergeCell ref="A221:E221"/>
    <mergeCell ref="F221:J221"/>
    <mergeCell ref="K221:O221"/>
    <mergeCell ref="A222:E222"/>
    <mergeCell ref="F222:J222"/>
    <mergeCell ref="K222:O222"/>
    <mergeCell ref="A217:O217"/>
    <mergeCell ref="A218:E218"/>
    <mergeCell ref="F218:J218"/>
    <mergeCell ref="K218:O218"/>
    <mergeCell ref="A219:E219"/>
    <mergeCell ref="F219:J219"/>
    <mergeCell ref="K219:O219"/>
    <mergeCell ref="A230:E230"/>
    <mergeCell ref="F230:J230"/>
    <mergeCell ref="K230:O230"/>
    <mergeCell ref="A231:E231"/>
    <mergeCell ref="F231:J231"/>
    <mergeCell ref="K231:O231"/>
    <mergeCell ref="A223:O223"/>
    <mergeCell ref="A224:E224"/>
    <mergeCell ref="F224:J224"/>
    <mergeCell ref="K224:O224"/>
    <mergeCell ref="A225:E225"/>
    <mergeCell ref="F225:J225"/>
    <mergeCell ref="K225:O225"/>
    <mergeCell ref="A229:O229"/>
    <mergeCell ref="A226:O226"/>
    <mergeCell ref="M227:O227"/>
    <mergeCell ref="M228:O228"/>
    <mergeCell ref="A227:B227"/>
    <mergeCell ref="C227:E227"/>
    <mergeCell ref="F227:G227"/>
    <mergeCell ref="H227:J227"/>
    <mergeCell ref="K227:L227"/>
    <mergeCell ref="A228:B228"/>
    <mergeCell ref="C228:E228"/>
    <mergeCell ref="F228:G228"/>
    <mergeCell ref="H228:J228"/>
    <mergeCell ref="K228:L228"/>
    <mergeCell ref="A34:B34"/>
    <mergeCell ref="C34:D34"/>
    <mergeCell ref="E34:F34"/>
    <mergeCell ref="G34:H34"/>
    <mergeCell ref="I34:J34"/>
    <mergeCell ref="K34:L34"/>
    <mergeCell ref="A35:B35"/>
    <mergeCell ref="C35:D35"/>
    <mergeCell ref="E35:F35"/>
    <mergeCell ref="G35:H35"/>
    <mergeCell ref="I35:J35"/>
    <mergeCell ref="K35:L35"/>
    <mergeCell ref="K64:L64"/>
    <mergeCell ref="A65:B65"/>
    <mergeCell ref="C65:E65"/>
    <mergeCell ref="F65:G65"/>
    <mergeCell ref="H65:J65"/>
    <mergeCell ref="K65:L65"/>
    <mergeCell ref="C70:E70"/>
    <mergeCell ref="F70:G70"/>
    <mergeCell ref="H70:J70"/>
    <mergeCell ref="M65:O65"/>
    <mergeCell ref="A67:B67"/>
    <mergeCell ref="C67:E67"/>
    <mergeCell ref="F67:G67"/>
    <mergeCell ref="H67:J67"/>
    <mergeCell ref="K67:L67"/>
    <mergeCell ref="M67:O67"/>
    <mergeCell ref="A68:B68"/>
    <mergeCell ref="C68:E68"/>
    <mergeCell ref="F68:G68"/>
    <mergeCell ref="H68:J68"/>
    <mergeCell ref="K68:L68"/>
    <mergeCell ref="M68:O68"/>
    <mergeCell ref="A69:B69"/>
    <mergeCell ref="C69:D69"/>
    <mergeCell ref="E69:F69"/>
    <mergeCell ref="G69:H69"/>
    <mergeCell ref="I69:J69"/>
    <mergeCell ref="K69:L69"/>
    <mergeCell ref="M69:O69"/>
    <mergeCell ref="M71:O71"/>
    <mergeCell ref="A74:B74"/>
    <mergeCell ref="C74:E74"/>
    <mergeCell ref="F74:G74"/>
    <mergeCell ref="H74:J74"/>
    <mergeCell ref="K74:L74"/>
    <mergeCell ref="M74:O74"/>
    <mergeCell ref="K71:L71"/>
    <mergeCell ref="A71:B71"/>
    <mergeCell ref="C71:E71"/>
    <mergeCell ref="F71:G71"/>
    <mergeCell ref="H71:J71"/>
    <mergeCell ref="A80:B80"/>
    <mergeCell ref="C80:D80"/>
    <mergeCell ref="E80:F80"/>
    <mergeCell ref="G80:H80"/>
    <mergeCell ref="I80:J80"/>
    <mergeCell ref="K80:L80"/>
    <mergeCell ref="M80:O80"/>
    <mergeCell ref="A73:B73"/>
    <mergeCell ref="C73:E73"/>
    <mergeCell ref="F73:G73"/>
    <mergeCell ref="H73:J73"/>
    <mergeCell ref="K73:L73"/>
    <mergeCell ref="A81:B81"/>
    <mergeCell ref="C81:D81"/>
    <mergeCell ref="E81:F81"/>
    <mergeCell ref="G81:H81"/>
    <mergeCell ref="I81:J81"/>
    <mergeCell ref="K81:L81"/>
    <mergeCell ref="M81:O81"/>
    <mergeCell ref="A83:B83"/>
    <mergeCell ref="C83:D83"/>
    <mergeCell ref="E83:F83"/>
    <mergeCell ref="G83:H83"/>
    <mergeCell ref="I83:J83"/>
    <mergeCell ref="K83:L83"/>
    <mergeCell ref="M83:O83"/>
    <mergeCell ref="A84:B84"/>
    <mergeCell ref="C84:D84"/>
    <mergeCell ref="E84:F84"/>
    <mergeCell ref="G84:H84"/>
    <mergeCell ref="I84:J84"/>
    <mergeCell ref="K84:L84"/>
    <mergeCell ref="M84:O84"/>
    <mergeCell ref="A86:B86"/>
    <mergeCell ref="C86:D86"/>
    <mergeCell ref="E86:F86"/>
    <mergeCell ref="G86:H86"/>
    <mergeCell ref="I86:J86"/>
    <mergeCell ref="K86:L86"/>
    <mergeCell ref="M86:O86"/>
    <mergeCell ref="A87:B87"/>
    <mergeCell ref="C87:D87"/>
    <mergeCell ref="E87:F87"/>
    <mergeCell ref="G87:H87"/>
    <mergeCell ref="I87:J87"/>
    <mergeCell ref="K87:L87"/>
    <mergeCell ref="M87:O87"/>
    <mergeCell ref="A89:B89"/>
    <mergeCell ref="C89:D89"/>
    <mergeCell ref="E89:F89"/>
    <mergeCell ref="G89:H89"/>
    <mergeCell ref="I89:J89"/>
    <mergeCell ref="K89:L89"/>
    <mergeCell ref="M89:O89"/>
    <mergeCell ref="A90:B90"/>
    <mergeCell ref="C90:D90"/>
    <mergeCell ref="E90:F90"/>
    <mergeCell ref="G90:H90"/>
    <mergeCell ref="I90:J90"/>
    <mergeCell ref="K90:L90"/>
    <mergeCell ref="M90:O90"/>
    <mergeCell ref="A92:B92"/>
    <mergeCell ref="C92:D92"/>
    <mergeCell ref="E92:F92"/>
    <mergeCell ref="G92:H92"/>
    <mergeCell ref="I92:J92"/>
    <mergeCell ref="K92:L92"/>
    <mergeCell ref="M92:O92"/>
    <mergeCell ref="A93:B93"/>
    <mergeCell ref="C93:D93"/>
    <mergeCell ref="E93:F93"/>
    <mergeCell ref="G93:H93"/>
    <mergeCell ref="I93:J93"/>
    <mergeCell ref="K93:L93"/>
    <mergeCell ref="M93:O93"/>
    <mergeCell ref="A95:B95"/>
    <mergeCell ref="C95:D95"/>
    <mergeCell ref="E95:F95"/>
    <mergeCell ref="G95:H95"/>
    <mergeCell ref="I95:J95"/>
    <mergeCell ref="K95:L95"/>
    <mergeCell ref="M95:O95"/>
    <mergeCell ref="A96:B96"/>
    <mergeCell ref="C96:D96"/>
    <mergeCell ref="E96:F96"/>
    <mergeCell ref="G96:H96"/>
    <mergeCell ref="I96:J96"/>
    <mergeCell ref="K96:L96"/>
    <mergeCell ref="M96:O96"/>
    <mergeCell ref="A98:B98"/>
    <mergeCell ref="C98:D98"/>
    <mergeCell ref="E98:F98"/>
    <mergeCell ref="G98:H98"/>
    <mergeCell ref="I98:J98"/>
    <mergeCell ref="K98:L98"/>
    <mergeCell ref="M98:O98"/>
    <mergeCell ref="A99:B99"/>
    <mergeCell ref="C99:D99"/>
    <mergeCell ref="E99:F99"/>
    <mergeCell ref="G99:H99"/>
    <mergeCell ref="I99:J99"/>
    <mergeCell ref="K99:L99"/>
    <mergeCell ref="M99:O99"/>
    <mergeCell ref="A103:B103"/>
    <mergeCell ref="C103:E103"/>
    <mergeCell ref="F103:G103"/>
    <mergeCell ref="H103:J103"/>
    <mergeCell ref="K103:L103"/>
    <mergeCell ref="M103:O103"/>
    <mergeCell ref="A101:O101"/>
    <mergeCell ref="H106:J106"/>
    <mergeCell ref="K106:L106"/>
    <mergeCell ref="M106:O106"/>
    <mergeCell ref="A107:B107"/>
    <mergeCell ref="C107:E107"/>
    <mergeCell ref="F107:G107"/>
    <mergeCell ref="H107:J107"/>
    <mergeCell ref="K107:L107"/>
    <mergeCell ref="M107:O107"/>
    <mergeCell ref="A106:B106"/>
    <mergeCell ref="C106:E106"/>
    <mergeCell ref="F106:G106"/>
    <mergeCell ref="A109:B109"/>
    <mergeCell ref="C109:E109"/>
    <mergeCell ref="F109:G109"/>
    <mergeCell ref="H109:J109"/>
    <mergeCell ref="K109:L109"/>
    <mergeCell ref="M109:O109"/>
    <mergeCell ref="A110:B110"/>
    <mergeCell ref="C110:E110"/>
    <mergeCell ref="F110:G110"/>
    <mergeCell ref="H110:J110"/>
    <mergeCell ref="K110:L110"/>
    <mergeCell ref="M110:O110"/>
    <mergeCell ref="A117:E117"/>
    <mergeCell ref="A114:E114"/>
    <mergeCell ref="A111:E111"/>
    <mergeCell ref="A112:B112"/>
    <mergeCell ref="C112:E112"/>
    <mergeCell ref="F112:G112"/>
    <mergeCell ref="H112:J112"/>
    <mergeCell ref="K112:L112"/>
    <mergeCell ref="M112:O112"/>
    <mergeCell ref="A113:B113"/>
    <mergeCell ref="C113:E113"/>
    <mergeCell ref="F113:G113"/>
    <mergeCell ref="H113:J113"/>
    <mergeCell ref="K113:L113"/>
    <mergeCell ref="M113:O113"/>
    <mergeCell ref="A115:B115"/>
    <mergeCell ref="C115:E115"/>
    <mergeCell ref="F115:G115"/>
    <mergeCell ref="H115:J115"/>
    <mergeCell ref="K115:L115"/>
    <mergeCell ref="M115:O115"/>
    <mergeCell ref="A116:B116"/>
    <mergeCell ref="C116:E116"/>
    <mergeCell ref="F116:G116"/>
    <mergeCell ref="H116:J116"/>
    <mergeCell ref="K116:L116"/>
    <mergeCell ref="M116:O116"/>
    <mergeCell ref="A145:O145"/>
    <mergeCell ref="A120:E120"/>
    <mergeCell ref="A121:B121"/>
    <mergeCell ref="C121:E121"/>
    <mergeCell ref="F121:G121"/>
    <mergeCell ref="H121:J121"/>
    <mergeCell ref="K121:L121"/>
    <mergeCell ref="A118:B118"/>
    <mergeCell ref="C118:E118"/>
    <mergeCell ref="F118:G118"/>
    <mergeCell ref="H118:J118"/>
    <mergeCell ref="K118:L118"/>
    <mergeCell ref="M118:O118"/>
    <mergeCell ref="A119:B119"/>
    <mergeCell ref="C119:E119"/>
    <mergeCell ref="F119:G119"/>
    <mergeCell ref="H119:J119"/>
    <mergeCell ref="K119:L119"/>
    <mergeCell ref="M119:O119"/>
    <mergeCell ref="H126:J126"/>
    <mergeCell ref="M126:O126"/>
    <mergeCell ref="M121:O121"/>
    <mergeCell ref="A122:B122"/>
    <mergeCell ref="C122:E122"/>
    <mergeCell ref="F122:G122"/>
    <mergeCell ref="H122:J122"/>
    <mergeCell ref="K122:L122"/>
    <mergeCell ref="M122:O122"/>
    <mergeCell ref="A149:E149"/>
    <mergeCell ref="H147:J147"/>
    <mergeCell ref="M147:O147"/>
    <mergeCell ref="H148:J148"/>
    <mergeCell ref="K148:L148"/>
    <mergeCell ref="M148:O148"/>
    <mergeCell ref="A123:O123"/>
    <mergeCell ref="A125:B125"/>
    <mergeCell ref="C125:E125"/>
    <mergeCell ref="F125:G125"/>
    <mergeCell ref="H125:J125"/>
    <mergeCell ref="K125:L125"/>
    <mergeCell ref="M125:O125"/>
    <mergeCell ref="C126:E126"/>
    <mergeCell ref="F126:G126"/>
    <mergeCell ref="K126:L126"/>
    <mergeCell ref="A137:B137"/>
    <mergeCell ref="A159:B159"/>
    <mergeCell ref="A162:B162"/>
    <mergeCell ref="C147:E147"/>
    <mergeCell ref="F147:G147"/>
    <mergeCell ref="A148:B148"/>
    <mergeCell ref="C148:E148"/>
    <mergeCell ref="F148:G148"/>
    <mergeCell ref="A150:B150"/>
    <mergeCell ref="C150:E150"/>
    <mergeCell ref="F150:G150"/>
    <mergeCell ref="C153:E153"/>
    <mergeCell ref="F153:G153"/>
    <mergeCell ref="C156:E156"/>
    <mergeCell ref="F156:G156"/>
    <mergeCell ref="C159:E159"/>
    <mergeCell ref="F159:G159"/>
    <mergeCell ref="C162:E162"/>
    <mergeCell ref="F162:G162"/>
    <mergeCell ref="A147:B147"/>
    <mergeCell ref="C157:E157"/>
    <mergeCell ref="F157:G157"/>
    <mergeCell ref="A157:B157"/>
    <mergeCell ref="H162:J162"/>
    <mergeCell ref="K162:L162"/>
    <mergeCell ref="M162:O162"/>
    <mergeCell ref="A163:B163"/>
    <mergeCell ref="C163:E163"/>
    <mergeCell ref="F163:G163"/>
    <mergeCell ref="H163:J163"/>
    <mergeCell ref="K163:L163"/>
    <mergeCell ref="M163:O163"/>
    <mergeCell ref="C183:E183"/>
    <mergeCell ref="F183:G183"/>
    <mergeCell ref="H183:J183"/>
    <mergeCell ref="M183:O183"/>
    <mergeCell ref="A185:B185"/>
    <mergeCell ref="C185:E185"/>
    <mergeCell ref="F185:G185"/>
    <mergeCell ref="H185:J185"/>
    <mergeCell ref="K185:L185"/>
    <mergeCell ref="M185:O185"/>
    <mergeCell ref="A183:B183"/>
    <mergeCell ref="K183:L183"/>
    <mergeCell ref="A184:O184"/>
    <mergeCell ref="A186:B186"/>
    <mergeCell ref="C186:E186"/>
    <mergeCell ref="F186:G186"/>
    <mergeCell ref="H186:J186"/>
    <mergeCell ref="K186:L186"/>
    <mergeCell ref="M186:O186"/>
    <mergeCell ref="A188:B188"/>
    <mergeCell ref="C188:E188"/>
    <mergeCell ref="F188:G188"/>
    <mergeCell ref="H188:J188"/>
    <mergeCell ref="K188:L188"/>
    <mergeCell ref="M188:O188"/>
    <mergeCell ref="A187:O187"/>
    <mergeCell ref="H192:J192"/>
    <mergeCell ref="K192:L192"/>
    <mergeCell ref="M192:O192"/>
    <mergeCell ref="A194:B194"/>
    <mergeCell ref="C194:E194"/>
    <mergeCell ref="F194:G194"/>
    <mergeCell ref="H194:J194"/>
    <mergeCell ref="K194:L194"/>
    <mergeCell ref="M194:O194"/>
    <mergeCell ref="A192:B192"/>
    <mergeCell ref="C192:E192"/>
    <mergeCell ref="F192:G192"/>
    <mergeCell ref="A193:O193"/>
    <mergeCell ref="F198:G198"/>
    <mergeCell ref="H198:J198"/>
    <mergeCell ref="K198:L198"/>
    <mergeCell ref="M198:O198"/>
    <mergeCell ref="A200:B200"/>
    <mergeCell ref="C200:E200"/>
    <mergeCell ref="F200:G200"/>
    <mergeCell ref="H200:J200"/>
    <mergeCell ref="K200:L200"/>
    <mergeCell ref="M200:O200"/>
    <mergeCell ref="A198:B198"/>
    <mergeCell ref="C198:E198"/>
    <mergeCell ref="C204:E204"/>
    <mergeCell ref="F204:G204"/>
    <mergeCell ref="H204:J204"/>
    <mergeCell ref="K204:L204"/>
    <mergeCell ref="M204:O204"/>
    <mergeCell ref="A206:B206"/>
    <mergeCell ref="C206:E206"/>
    <mergeCell ref="F206:G206"/>
    <mergeCell ref="H206:J206"/>
    <mergeCell ref="K206:L206"/>
    <mergeCell ref="M206:O206"/>
    <mergeCell ref="A207:B207"/>
    <mergeCell ref="C207:E207"/>
    <mergeCell ref="F207:G207"/>
    <mergeCell ref="H207:J207"/>
    <mergeCell ref="K207:L207"/>
    <mergeCell ref="M207:O207"/>
    <mergeCell ref="A209:B209"/>
    <mergeCell ref="C209:E209"/>
    <mergeCell ref="F209:G209"/>
    <mergeCell ref="H209:J209"/>
    <mergeCell ref="K209:L209"/>
    <mergeCell ref="M209:O209"/>
    <mergeCell ref="F213:G213"/>
    <mergeCell ref="H213:J213"/>
    <mergeCell ref="K213:L213"/>
    <mergeCell ref="M213:O213"/>
    <mergeCell ref="A215:E215"/>
    <mergeCell ref="F215:J215"/>
    <mergeCell ref="K215:O215"/>
    <mergeCell ref="A210:B210"/>
    <mergeCell ref="C210:E210"/>
    <mergeCell ref="F210:G210"/>
    <mergeCell ref="H210:J210"/>
    <mergeCell ref="K210:L210"/>
    <mergeCell ref="M210:O210"/>
    <mergeCell ref="A212:B212"/>
    <mergeCell ref="C212:E212"/>
    <mergeCell ref="F212:G212"/>
    <mergeCell ref="H212:J212"/>
    <mergeCell ref="K212:L212"/>
    <mergeCell ref="M212:O212"/>
    <mergeCell ref="A214:O214"/>
    <mergeCell ref="A232:O232"/>
    <mergeCell ref="A134:B134"/>
    <mergeCell ref="C134:E134"/>
    <mergeCell ref="F134:G134"/>
    <mergeCell ref="H134:J134"/>
    <mergeCell ref="K134:L134"/>
    <mergeCell ref="M134:O134"/>
    <mergeCell ref="A139:E139"/>
    <mergeCell ref="A140:B140"/>
    <mergeCell ref="C140:E140"/>
    <mergeCell ref="F140:G140"/>
    <mergeCell ref="H140:J140"/>
    <mergeCell ref="K140:L140"/>
    <mergeCell ref="M140:O140"/>
    <mergeCell ref="A141:B141"/>
    <mergeCell ref="C141:E141"/>
    <mergeCell ref="F141:G141"/>
    <mergeCell ref="H141:J141"/>
    <mergeCell ref="K141:L141"/>
    <mergeCell ref="M141:O141"/>
    <mergeCell ref="A142:E142"/>
    <mergeCell ref="A143:B143"/>
    <mergeCell ref="A213:B213"/>
    <mergeCell ref="C213:E213"/>
    <mergeCell ref="C137:E137"/>
    <mergeCell ref="F137:G137"/>
    <mergeCell ref="H137:J137"/>
    <mergeCell ref="K137:L137"/>
    <mergeCell ref="M137:O137"/>
    <mergeCell ref="A135:B135"/>
    <mergeCell ref="C135:E135"/>
    <mergeCell ref="F135:G135"/>
    <mergeCell ref="H135:J135"/>
    <mergeCell ref="K135:L135"/>
    <mergeCell ref="M135:O135"/>
    <mergeCell ref="A136:E136"/>
    <mergeCell ref="A128:B128"/>
    <mergeCell ref="C128:E128"/>
    <mergeCell ref="F128:G128"/>
    <mergeCell ref="H128:J128"/>
    <mergeCell ref="K128:L128"/>
    <mergeCell ref="M128:O128"/>
    <mergeCell ref="A129:B129"/>
    <mergeCell ref="C129:E129"/>
    <mergeCell ref="F129:G129"/>
    <mergeCell ref="H129:J129"/>
    <mergeCell ref="K129:L129"/>
    <mergeCell ref="M129:O129"/>
    <mergeCell ref="A131:B131"/>
    <mergeCell ref="C131:E131"/>
    <mergeCell ref="F131:G131"/>
    <mergeCell ref="H131:J131"/>
    <mergeCell ref="K131:L131"/>
    <mergeCell ref="M131:O131"/>
    <mergeCell ref="A132:B132"/>
    <mergeCell ref="C132:E132"/>
    <mergeCell ref="F132:G132"/>
    <mergeCell ref="H132:J132"/>
    <mergeCell ref="K132:L132"/>
    <mergeCell ref="M132:O132"/>
    <mergeCell ref="A138:B138"/>
    <mergeCell ref="C138:E138"/>
    <mergeCell ref="F138:G138"/>
    <mergeCell ref="H138:J138"/>
    <mergeCell ref="K138:L138"/>
    <mergeCell ref="M138:O138"/>
    <mergeCell ref="A133:E133"/>
    <mergeCell ref="A161:J161"/>
    <mergeCell ref="A144:B144"/>
    <mergeCell ref="C144:E144"/>
    <mergeCell ref="F144:G144"/>
    <mergeCell ref="H144:J144"/>
    <mergeCell ref="K144:L144"/>
    <mergeCell ref="M144:O144"/>
    <mergeCell ref="A146:G146"/>
    <mergeCell ref="A152:L152"/>
    <mergeCell ref="A155:L155"/>
    <mergeCell ref="H159:J159"/>
    <mergeCell ref="K159:L159"/>
    <mergeCell ref="M159:O159"/>
    <mergeCell ref="A160:B160"/>
    <mergeCell ref="C160:E160"/>
    <mergeCell ref="F160:G160"/>
    <mergeCell ref="H160:J160"/>
    <mergeCell ref="K160:L160"/>
    <mergeCell ref="H157:J157"/>
    <mergeCell ref="K157:L157"/>
    <mergeCell ref="M157:O157"/>
    <mergeCell ref="H153:J153"/>
    <mergeCell ref="K153:L153"/>
    <mergeCell ref="M153:O153"/>
    <mergeCell ref="M160:O160"/>
    <mergeCell ref="H156:J156"/>
    <mergeCell ref="K156:L156"/>
    <mergeCell ref="M156:O156"/>
    <mergeCell ref="A235:O235"/>
    <mergeCell ref="C143:E143"/>
    <mergeCell ref="F143:G143"/>
    <mergeCell ref="H143:J143"/>
    <mergeCell ref="K143:L143"/>
    <mergeCell ref="M143:O143"/>
    <mergeCell ref="A158:J158"/>
    <mergeCell ref="A154:B154"/>
    <mergeCell ref="C154:E154"/>
    <mergeCell ref="F154:G154"/>
    <mergeCell ref="H154:J154"/>
    <mergeCell ref="K154:L154"/>
    <mergeCell ref="M154:O154"/>
    <mergeCell ref="A153:B153"/>
    <mergeCell ref="A156:B156"/>
    <mergeCell ref="H150:J150"/>
    <mergeCell ref="K150:L150"/>
    <mergeCell ref="M150:O150"/>
    <mergeCell ref="A151:B151"/>
    <mergeCell ref="C151:E151"/>
    <mergeCell ref="F151:G151"/>
    <mergeCell ref="H151:J151"/>
    <mergeCell ref="K151:L151"/>
    <mergeCell ref="M151:O151"/>
  </mergeCells>
  <pageMargins left="0" right="0" top="0" bottom="0" header="0" footer="0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ОБРАЂ.УП.-ЗАДО.КОРИ.СПЕЦ.СЛ.</vt:lpstr>
      <vt:lpstr>ОБРА.УП.О ЗАДО.КОРИ.БОЛ.ЛЕЧЕЊЕМ</vt:lpstr>
      <vt:lpstr>ОБРАЂЕНИ УП.-ЗАДОВ.ЗАОСЛЕНИХ</vt:lpstr>
      <vt:lpstr>ОБРА.УП.О ЗАДО.КОРИ.ДИЈАЛИЗА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2023-01-26T11:47:45Z</dcterms:modified>
</cp:coreProperties>
</file>